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HomePage\StarServer\template-soko\20241217\business\down\"/>
    </mc:Choice>
  </mc:AlternateContent>
  <xr:revisionPtr revIDLastSave="0" documentId="13_ncr:1_{E366A7F0-2087-486E-A7F5-8875BB79C684}" xr6:coauthVersionLast="47" xr6:coauthVersionMax="47" xr10:uidLastSave="{00000000-0000-0000-0000-000000000000}"/>
  <bookViews>
    <workbookView xWindow="2205" yWindow="450" windowWidth="25320" windowHeight="11505" tabRatio="500" xr2:uid="{00000000-000D-0000-FFFF-FFFF00000000}"/>
  </bookViews>
  <sheets>
    <sheet name="食材マスタ" sheetId="1" r:id="rId1"/>
    <sheet name="入出庫履歴" sheetId="2" r:id="rId2"/>
    <sheet name="期限チェック" sheetId="3" r:id="rId3"/>
    <sheet name="発注リスト" sheetId="4" r:id="rId4"/>
    <sheet name="集計" sheetId="5" r:id="rId5"/>
    <sheet name="設定" sheetId="6" r:id="rId6"/>
  </sheets>
  <definedNames>
    <definedName name="_xlnm._FilterDatabase" localSheetId="0" hidden="1">食材マスタ!$B$9:$Y$309</definedName>
    <definedName name="_xlnm._FilterDatabase" localSheetId="1" hidden="1">入出庫履歴!$B$9:$S$1009</definedName>
    <definedName name="_xlnm.Print_Area" localSheetId="2">期限チェック!$B$3:$M$58</definedName>
    <definedName name="_xlnm.Print_Area" localSheetId="4">集計!$B$2:$H$45</definedName>
    <definedName name="_xlnm.Print_Area" localSheetId="0">食材マスタ!$B$3:$Y$309</definedName>
    <definedName name="_xlnm.Print_Area" localSheetId="5">設定!$B$2:$L$27</definedName>
    <definedName name="_xlnm.Print_Area" localSheetId="1">入出庫履歴!$B$3:$S$152</definedName>
    <definedName name="_xlnm.Print_Area" localSheetId="3">発注リスト!$B$3:$N$58</definedName>
    <definedName name="_xlnm.Print_Titles" localSheetId="2">期限チェック!$8:$8</definedName>
    <definedName name="_xlnm.Print_Titles" localSheetId="0">食材マスタ!$9:$9</definedName>
    <definedName name="_xlnm.Print_Titles" localSheetId="1">入出庫履歴!$9:$9</definedName>
    <definedName name="_xlnm.Print_Titles" localSheetId="3">発注リスト!$8:$8</definedName>
    <definedName name="ロットリスト">入出庫履歴!$L$10:$L$1009</definedName>
    <definedName name="区分リスト">設定!$L$8:$L$11</definedName>
    <definedName name="食材コードリスト">食材マスタ!$C$10:$C$309</definedName>
    <definedName name="単位リスト">設定!$F$8:$F$27</definedName>
    <definedName name="担当者リスト">設定!$J$8:$J$27</definedName>
    <definedName name="分類リスト">設定!$B$8:$B$27</definedName>
    <definedName name="保管場所リスト">設定!$H$8:$H$27</definedName>
    <definedName name="保存区分リスト">設定!$D$8:$D$27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44" i="5" l="1"/>
  <c r="E44" i="5"/>
  <c r="D44" i="5"/>
  <c r="C44" i="5"/>
  <c r="B44" i="5"/>
  <c r="F43" i="5"/>
  <c r="E43" i="5"/>
  <c r="D43" i="5"/>
  <c r="G43" i="5" s="1"/>
  <c r="C43" i="5"/>
  <c r="B43" i="5"/>
  <c r="F42" i="5"/>
  <c r="E42" i="5"/>
  <c r="D42" i="5"/>
  <c r="G42" i="5" s="1"/>
  <c r="C42" i="5"/>
  <c r="B42" i="5"/>
  <c r="G41" i="5"/>
  <c r="F41" i="5"/>
  <c r="E41" i="5"/>
  <c r="D41" i="5"/>
  <c r="C41" i="5"/>
  <c r="B41" i="5"/>
  <c r="F40" i="5"/>
  <c r="E40" i="5"/>
  <c r="D40" i="5"/>
  <c r="G40" i="5" s="1"/>
  <c r="C40" i="5"/>
  <c r="B40" i="5"/>
  <c r="F39" i="5"/>
  <c r="B39" i="5"/>
  <c r="F38" i="5"/>
  <c r="E38" i="5"/>
  <c r="D38" i="5"/>
  <c r="C38" i="5"/>
  <c r="B38" i="5"/>
  <c r="G37" i="5"/>
  <c r="F37" i="5"/>
  <c r="E37" i="5"/>
  <c r="D37" i="5"/>
  <c r="C37" i="5"/>
  <c r="B37" i="5"/>
  <c r="F36" i="5"/>
  <c r="E36" i="5"/>
  <c r="D36" i="5"/>
  <c r="G36" i="5" s="1"/>
  <c r="C36" i="5"/>
  <c r="B36" i="5"/>
  <c r="G35" i="5"/>
  <c r="F35" i="5"/>
  <c r="E35" i="5"/>
  <c r="D35" i="5"/>
  <c r="C35" i="5"/>
  <c r="B35" i="5"/>
  <c r="F34" i="5"/>
  <c r="E34" i="5"/>
  <c r="D34" i="5"/>
  <c r="G34" i="5" s="1"/>
  <c r="C34" i="5"/>
  <c r="B34" i="5"/>
  <c r="G33" i="5"/>
  <c r="F33" i="5"/>
  <c r="F45" i="5" s="1"/>
  <c r="E33" i="5"/>
  <c r="D33" i="5"/>
  <c r="C33" i="5"/>
  <c r="B33" i="5"/>
  <c r="G25" i="5"/>
  <c r="F25" i="5"/>
  <c r="C25" i="5"/>
  <c r="B25" i="5"/>
  <c r="G24" i="5"/>
  <c r="E24" i="5"/>
  <c r="D24" i="5"/>
  <c r="C24" i="5"/>
  <c r="B24" i="5"/>
  <c r="F24" i="5" s="1"/>
  <c r="G23" i="5"/>
  <c r="F23" i="5"/>
  <c r="B23" i="5"/>
  <c r="G22" i="5"/>
  <c r="E22" i="5"/>
  <c r="D22" i="5"/>
  <c r="C22" i="5"/>
  <c r="B22" i="5"/>
  <c r="F22" i="5" s="1"/>
  <c r="B21" i="5"/>
  <c r="G20" i="5"/>
  <c r="E20" i="5"/>
  <c r="D20" i="5"/>
  <c r="C20" i="5"/>
  <c r="B20" i="5"/>
  <c r="F20" i="5" s="1"/>
  <c r="C19" i="5"/>
  <c r="B19" i="5"/>
  <c r="G18" i="5"/>
  <c r="E18" i="5"/>
  <c r="D18" i="5"/>
  <c r="C18" i="5"/>
  <c r="B18" i="5"/>
  <c r="F18" i="5" s="1"/>
  <c r="G17" i="5"/>
  <c r="F17" i="5"/>
  <c r="C17" i="5"/>
  <c r="B17" i="5"/>
  <c r="G16" i="5"/>
  <c r="E16" i="5"/>
  <c r="D16" i="5"/>
  <c r="C16" i="5"/>
  <c r="B16" i="5"/>
  <c r="F16" i="5" s="1"/>
  <c r="G15" i="5"/>
  <c r="F15" i="5"/>
  <c r="B15" i="5"/>
  <c r="C14" i="5"/>
  <c r="B14" i="5"/>
  <c r="G13" i="5"/>
  <c r="F13" i="5"/>
  <c r="B13" i="5"/>
  <c r="G12" i="5"/>
  <c r="D12" i="5"/>
  <c r="C12" i="5"/>
  <c r="B12" i="5"/>
  <c r="F12" i="5" s="1"/>
  <c r="C11" i="5"/>
  <c r="B11" i="5"/>
  <c r="C10" i="5"/>
  <c r="B10" i="5"/>
  <c r="B9" i="5"/>
  <c r="C8" i="5"/>
  <c r="B8" i="5"/>
  <c r="C7" i="5"/>
  <c r="B7" i="5"/>
  <c r="C6" i="5"/>
  <c r="B6" i="5"/>
  <c r="P1009" i="2"/>
  <c r="O1009" i="2"/>
  <c r="U1009" i="2" s="1"/>
  <c r="V1009" i="2" s="1"/>
  <c r="N1009" i="2"/>
  <c r="L1009" i="2"/>
  <c r="J1009" i="2"/>
  <c r="I1009" i="2"/>
  <c r="H1009" i="2"/>
  <c r="F1009" i="2"/>
  <c r="B1009" i="2"/>
  <c r="P1008" i="2"/>
  <c r="O1008" i="2"/>
  <c r="U1008" i="2" s="1"/>
  <c r="V1008" i="2" s="1"/>
  <c r="L1008" i="2"/>
  <c r="N1008" i="2" s="1"/>
  <c r="I1008" i="2"/>
  <c r="J1008" i="2" s="1"/>
  <c r="H1008" i="2"/>
  <c r="F1008" i="2"/>
  <c r="B1008" i="2"/>
  <c r="P1007" i="2"/>
  <c r="N1007" i="2"/>
  <c r="L1007" i="2"/>
  <c r="O1007" i="2" s="1"/>
  <c r="U1007" i="2" s="1"/>
  <c r="V1007" i="2" s="1"/>
  <c r="J1007" i="2"/>
  <c r="I1007" i="2"/>
  <c r="H1007" i="2"/>
  <c r="F1007" i="2"/>
  <c r="B1007" i="2"/>
  <c r="P1006" i="2"/>
  <c r="L1006" i="2"/>
  <c r="I1006" i="2"/>
  <c r="J1006" i="2" s="1"/>
  <c r="H1006" i="2"/>
  <c r="F1006" i="2"/>
  <c r="B1006" i="2"/>
  <c r="P1005" i="2"/>
  <c r="O1005" i="2"/>
  <c r="U1005" i="2" s="1"/>
  <c r="V1005" i="2" s="1"/>
  <c r="N1005" i="2"/>
  <c r="L1005" i="2"/>
  <c r="J1005" i="2"/>
  <c r="I1005" i="2"/>
  <c r="H1005" i="2"/>
  <c r="F1005" i="2"/>
  <c r="B1005" i="2"/>
  <c r="P1004" i="2"/>
  <c r="O1004" i="2"/>
  <c r="U1004" i="2" s="1"/>
  <c r="V1004" i="2" s="1"/>
  <c r="L1004" i="2"/>
  <c r="N1004" i="2" s="1"/>
  <c r="I1004" i="2"/>
  <c r="J1004" i="2" s="1"/>
  <c r="H1004" i="2"/>
  <c r="F1004" i="2"/>
  <c r="B1004" i="2"/>
  <c r="P1003" i="2"/>
  <c r="N1003" i="2"/>
  <c r="L1003" i="2"/>
  <c r="O1003" i="2" s="1"/>
  <c r="U1003" i="2" s="1"/>
  <c r="V1003" i="2" s="1"/>
  <c r="J1003" i="2"/>
  <c r="I1003" i="2"/>
  <c r="H1003" i="2"/>
  <c r="F1003" i="2"/>
  <c r="B1003" i="2"/>
  <c r="P1002" i="2"/>
  <c r="L1002" i="2"/>
  <c r="I1002" i="2"/>
  <c r="J1002" i="2" s="1"/>
  <c r="H1002" i="2"/>
  <c r="F1002" i="2"/>
  <c r="B1002" i="2"/>
  <c r="P1001" i="2"/>
  <c r="O1001" i="2"/>
  <c r="U1001" i="2" s="1"/>
  <c r="V1001" i="2" s="1"/>
  <c r="N1001" i="2"/>
  <c r="L1001" i="2"/>
  <c r="J1001" i="2"/>
  <c r="I1001" i="2"/>
  <c r="H1001" i="2"/>
  <c r="F1001" i="2"/>
  <c r="B1001" i="2"/>
  <c r="P1000" i="2"/>
  <c r="O1000" i="2"/>
  <c r="U1000" i="2" s="1"/>
  <c r="V1000" i="2" s="1"/>
  <c r="L1000" i="2"/>
  <c r="N1000" i="2" s="1"/>
  <c r="I1000" i="2"/>
  <c r="J1000" i="2" s="1"/>
  <c r="H1000" i="2"/>
  <c r="F1000" i="2"/>
  <c r="B1000" i="2"/>
  <c r="P999" i="2"/>
  <c r="N999" i="2"/>
  <c r="L999" i="2"/>
  <c r="O999" i="2" s="1"/>
  <c r="U999" i="2" s="1"/>
  <c r="V999" i="2" s="1"/>
  <c r="J999" i="2"/>
  <c r="I999" i="2"/>
  <c r="H999" i="2"/>
  <c r="F999" i="2"/>
  <c r="B999" i="2"/>
  <c r="P998" i="2"/>
  <c r="L998" i="2"/>
  <c r="I998" i="2"/>
  <c r="J998" i="2" s="1"/>
  <c r="H998" i="2"/>
  <c r="F998" i="2"/>
  <c r="B998" i="2"/>
  <c r="P997" i="2"/>
  <c r="O997" i="2"/>
  <c r="U997" i="2" s="1"/>
  <c r="V997" i="2" s="1"/>
  <c r="N997" i="2"/>
  <c r="L997" i="2"/>
  <c r="J997" i="2"/>
  <c r="I997" i="2"/>
  <c r="H997" i="2"/>
  <c r="F997" i="2"/>
  <c r="B997" i="2"/>
  <c r="P996" i="2"/>
  <c r="O996" i="2"/>
  <c r="U996" i="2" s="1"/>
  <c r="V996" i="2" s="1"/>
  <c r="L996" i="2"/>
  <c r="N996" i="2" s="1"/>
  <c r="I996" i="2"/>
  <c r="J996" i="2" s="1"/>
  <c r="H996" i="2"/>
  <c r="F996" i="2"/>
  <c r="B996" i="2"/>
  <c r="P995" i="2"/>
  <c r="N995" i="2"/>
  <c r="L995" i="2"/>
  <c r="O995" i="2" s="1"/>
  <c r="U995" i="2" s="1"/>
  <c r="V995" i="2" s="1"/>
  <c r="J995" i="2"/>
  <c r="I995" i="2"/>
  <c r="H995" i="2"/>
  <c r="F995" i="2"/>
  <c r="B995" i="2"/>
  <c r="P994" i="2"/>
  <c r="L994" i="2"/>
  <c r="I994" i="2"/>
  <c r="J994" i="2" s="1"/>
  <c r="H994" i="2"/>
  <c r="F994" i="2"/>
  <c r="B994" i="2"/>
  <c r="P993" i="2"/>
  <c r="L993" i="2"/>
  <c r="O993" i="2" s="1"/>
  <c r="U993" i="2" s="1"/>
  <c r="V993" i="2" s="1"/>
  <c r="J993" i="2"/>
  <c r="I993" i="2"/>
  <c r="H993" i="2"/>
  <c r="F993" i="2"/>
  <c r="B993" i="2"/>
  <c r="P992" i="2"/>
  <c r="O992" i="2"/>
  <c r="U992" i="2" s="1"/>
  <c r="V992" i="2" s="1"/>
  <c r="L992" i="2"/>
  <c r="N992" i="2" s="1"/>
  <c r="I992" i="2"/>
  <c r="J992" i="2" s="1"/>
  <c r="H992" i="2"/>
  <c r="F992" i="2"/>
  <c r="B992" i="2"/>
  <c r="P991" i="2"/>
  <c r="O991" i="2"/>
  <c r="U991" i="2" s="1"/>
  <c r="V991" i="2" s="1"/>
  <c r="N991" i="2"/>
  <c r="L991" i="2"/>
  <c r="I991" i="2"/>
  <c r="J991" i="2" s="1"/>
  <c r="H991" i="2"/>
  <c r="F991" i="2"/>
  <c r="B991" i="2"/>
  <c r="P990" i="2"/>
  <c r="L990" i="2"/>
  <c r="I990" i="2"/>
  <c r="J990" i="2" s="1"/>
  <c r="H990" i="2"/>
  <c r="F990" i="2"/>
  <c r="B990" i="2"/>
  <c r="P989" i="2"/>
  <c r="L989" i="2"/>
  <c r="O989" i="2" s="1"/>
  <c r="U989" i="2" s="1"/>
  <c r="V989" i="2" s="1"/>
  <c r="J989" i="2"/>
  <c r="I989" i="2"/>
  <c r="H989" i="2"/>
  <c r="F989" i="2"/>
  <c r="B989" i="2"/>
  <c r="P988" i="2"/>
  <c r="O988" i="2"/>
  <c r="U988" i="2" s="1"/>
  <c r="V988" i="2" s="1"/>
  <c r="L988" i="2"/>
  <c r="N988" i="2" s="1"/>
  <c r="I988" i="2"/>
  <c r="J988" i="2" s="1"/>
  <c r="H988" i="2"/>
  <c r="F988" i="2"/>
  <c r="B988" i="2"/>
  <c r="P987" i="2"/>
  <c r="O987" i="2"/>
  <c r="U987" i="2" s="1"/>
  <c r="V987" i="2" s="1"/>
  <c r="N987" i="2"/>
  <c r="L987" i="2"/>
  <c r="I987" i="2"/>
  <c r="J987" i="2" s="1"/>
  <c r="H987" i="2"/>
  <c r="F987" i="2"/>
  <c r="B987" i="2"/>
  <c r="P986" i="2"/>
  <c r="L986" i="2"/>
  <c r="I986" i="2"/>
  <c r="J986" i="2" s="1"/>
  <c r="H986" i="2"/>
  <c r="F986" i="2"/>
  <c r="B986" i="2"/>
  <c r="P985" i="2"/>
  <c r="L985" i="2"/>
  <c r="O985" i="2" s="1"/>
  <c r="U985" i="2" s="1"/>
  <c r="V985" i="2" s="1"/>
  <c r="J985" i="2"/>
  <c r="I985" i="2"/>
  <c r="H985" i="2"/>
  <c r="F985" i="2"/>
  <c r="B985" i="2"/>
  <c r="P984" i="2"/>
  <c r="O984" i="2"/>
  <c r="U984" i="2" s="1"/>
  <c r="V984" i="2" s="1"/>
  <c r="L984" i="2"/>
  <c r="N984" i="2" s="1"/>
  <c r="I984" i="2"/>
  <c r="J984" i="2" s="1"/>
  <c r="H984" i="2"/>
  <c r="F984" i="2"/>
  <c r="B984" i="2"/>
  <c r="P983" i="2"/>
  <c r="O983" i="2"/>
  <c r="U983" i="2" s="1"/>
  <c r="V983" i="2" s="1"/>
  <c r="N983" i="2"/>
  <c r="L983" i="2"/>
  <c r="I983" i="2"/>
  <c r="J983" i="2" s="1"/>
  <c r="H983" i="2"/>
  <c r="F983" i="2"/>
  <c r="B983" i="2"/>
  <c r="P982" i="2"/>
  <c r="L982" i="2"/>
  <c r="I982" i="2"/>
  <c r="J982" i="2" s="1"/>
  <c r="H982" i="2"/>
  <c r="F982" i="2"/>
  <c r="B982" i="2"/>
  <c r="P981" i="2"/>
  <c r="L981" i="2"/>
  <c r="O981" i="2" s="1"/>
  <c r="U981" i="2" s="1"/>
  <c r="V981" i="2" s="1"/>
  <c r="J981" i="2"/>
  <c r="I981" i="2"/>
  <c r="H981" i="2"/>
  <c r="F981" i="2"/>
  <c r="B981" i="2"/>
  <c r="P980" i="2"/>
  <c r="O980" i="2"/>
  <c r="U980" i="2" s="1"/>
  <c r="V980" i="2" s="1"/>
  <c r="L980" i="2"/>
  <c r="N980" i="2" s="1"/>
  <c r="I980" i="2"/>
  <c r="J980" i="2" s="1"/>
  <c r="H980" i="2"/>
  <c r="F980" i="2"/>
  <c r="B980" i="2"/>
  <c r="P979" i="2"/>
  <c r="O979" i="2"/>
  <c r="U979" i="2" s="1"/>
  <c r="V979" i="2" s="1"/>
  <c r="N979" i="2"/>
  <c r="L979" i="2"/>
  <c r="I979" i="2"/>
  <c r="J979" i="2" s="1"/>
  <c r="H979" i="2"/>
  <c r="F979" i="2"/>
  <c r="B979" i="2"/>
  <c r="P978" i="2"/>
  <c r="L978" i="2"/>
  <c r="I978" i="2"/>
  <c r="J978" i="2" s="1"/>
  <c r="H978" i="2"/>
  <c r="F978" i="2"/>
  <c r="B978" i="2"/>
  <c r="P977" i="2"/>
  <c r="L977" i="2"/>
  <c r="O977" i="2" s="1"/>
  <c r="U977" i="2" s="1"/>
  <c r="V977" i="2" s="1"/>
  <c r="J977" i="2"/>
  <c r="I977" i="2"/>
  <c r="H977" i="2"/>
  <c r="F977" i="2"/>
  <c r="B977" i="2"/>
  <c r="P976" i="2"/>
  <c r="O976" i="2"/>
  <c r="U976" i="2" s="1"/>
  <c r="V976" i="2" s="1"/>
  <c r="L976" i="2"/>
  <c r="N976" i="2" s="1"/>
  <c r="I976" i="2"/>
  <c r="J976" i="2" s="1"/>
  <c r="H976" i="2"/>
  <c r="F976" i="2"/>
  <c r="B976" i="2"/>
  <c r="P975" i="2"/>
  <c r="O975" i="2"/>
  <c r="U975" i="2" s="1"/>
  <c r="V975" i="2" s="1"/>
  <c r="N975" i="2"/>
  <c r="L975" i="2"/>
  <c r="I975" i="2"/>
  <c r="J975" i="2" s="1"/>
  <c r="H975" i="2"/>
  <c r="F975" i="2"/>
  <c r="B975" i="2"/>
  <c r="P974" i="2"/>
  <c r="L974" i="2"/>
  <c r="I974" i="2"/>
  <c r="J974" i="2" s="1"/>
  <c r="H974" i="2"/>
  <c r="F974" i="2"/>
  <c r="B974" i="2"/>
  <c r="P973" i="2"/>
  <c r="L973" i="2"/>
  <c r="O973" i="2" s="1"/>
  <c r="U973" i="2" s="1"/>
  <c r="V973" i="2" s="1"/>
  <c r="J973" i="2"/>
  <c r="I973" i="2"/>
  <c r="H973" i="2"/>
  <c r="F973" i="2"/>
  <c r="B973" i="2"/>
  <c r="P972" i="2"/>
  <c r="O972" i="2"/>
  <c r="U972" i="2" s="1"/>
  <c r="V972" i="2" s="1"/>
  <c r="L972" i="2"/>
  <c r="N972" i="2" s="1"/>
  <c r="I972" i="2"/>
  <c r="J972" i="2" s="1"/>
  <c r="H972" i="2"/>
  <c r="F972" i="2"/>
  <c r="B972" i="2"/>
  <c r="P971" i="2"/>
  <c r="O971" i="2"/>
  <c r="U971" i="2" s="1"/>
  <c r="V971" i="2" s="1"/>
  <c r="N971" i="2"/>
  <c r="L971" i="2"/>
  <c r="I971" i="2"/>
  <c r="J971" i="2" s="1"/>
  <c r="H971" i="2"/>
  <c r="F971" i="2"/>
  <c r="B971" i="2"/>
  <c r="P970" i="2"/>
  <c r="L970" i="2"/>
  <c r="I970" i="2"/>
  <c r="J970" i="2" s="1"/>
  <c r="H970" i="2"/>
  <c r="F970" i="2"/>
  <c r="B970" i="2"/>
  <c r="P969" i="2"/>
  <c r="L969" i="2"/>
  <c r="O969" i="2" s="1"/>
  <c r="U969" i="2" s="1"/>
  <c r="V969" i="2" s="1"/>
  <c r="J969" i="2"/>
  <c r="I969" i="2"/>
  <c r="H969" i="2"/>
  <c r="F969" i="2"/>
  <c r="B969" i="2"/>
  <c r="P968" i="2"/>
  <c r="O968" i="2"/>
  <c r="U968" i="2" s="1"/>
  <c r="V968" i="2" s="1"/>
  <c r="L968" i="2"/>
  <c r="N968" i="2" s="1"/>
  <c r="I968" i="2"/>
  <c r="J968" i="2" s="1"/>
  <c r="H968" i="2"/>
  <c r="F968" i="2"/>
  <c r="B968" i="2"/>
  <c r="P967" i="2"/>
  <c r="O967" i="2"/>
  <c r="U967" i="2" s="1"/>
  <c r="V967" i="2" s="1"/>
  <c r="N967" i="2"/>
  <c r="L967" i="2"/>
  <c r="I967" i="2"/>
  <c r="J967" i="2" s="1"/>
  <c r="H967" i="2"/>
  <c r="F967" i="2"/>
  <c r="B967" i="2"/>
  <c r="P966" i="2"/>
  <c r="L966" i="2"/>
  <c r="I966" i="2"/>
  <c r="J966" i="2" s="1"/>
  <c r="H966" i="2"/>
  <c r="F966" i="2"/>
  <c r="B966" i="2"/>
  <c r="P965" i="2"/>
  <c r="L965" i="2"/>
  <c r="O965" i="2" s="1"/>
  <c r="U965" i="2" s="1"/>
  <c r="V965" i="2" s="1"/>
  <c r="J965" i="2"/>
  <c r="I965" i="2"/>
  <c r="H965" i="2"/>
  <c r="F965" i="2"/>
  <c r="B965" i="2"/>
  <c r="P964" i="2"/>
  <c r="O964" i="2"/>
  <c r="U964" i="2" s="1"/>
  <c r="V964" i="2" s="1"/>
  <c r="L964" i="2"/>
  <c r="N964" i="2" s="1"/>
  <c r="I964" i="2"/>
  <c r="J964" i="2" s="1"/>
  <c r="H964" i="2"/>
  <c r="F964" i="2"/>
  <c r="B964" i="2"/>
  <c r="P963" i="2"/>
  <c r="O963" i="2"/>
  <c r="U963" i="2" s="1"/>
  <c r="V963" i="2" s="1"/>
  <c r="N963" i="2"/>
  <c r="L963" i="2"/>
  <c r="I963" i="2"/>
  <c r="J963" i="2" s="1"/>
  <c r="H963" i="2"/>
  <c r="F963" i="2"/>
  <c r="B963" i="2"/>
  <c r="P962" i="2"/>
  <c r="L962" i="2"/>
  <c r="I962" i="2"/>
  <c r="J962" i="2" s="1"/>
  <c r="H962" i="2"/>
  <c r="F962" i="2"/>
  <c r="B962" i="2"/>
  <c r="P961" i="2"/>
  <c r="L961" i="2"/>
  <c r="O961" i="2" s="1"/>
  <c r="U961" i="2" s="1"/>
  <c r="V961" i="2" s="1"/>
  <c r="J961" i="2"/>
  <c r="I961" i="2"/>
  <c r="H961" i="2"/>
  <c r="F961" i="2"/>
  <c r="B961" i="2"/>
  <c r="P960" i="2"/>
  <c r="O960" i="2"/>
  <c r="U960" i="2" s="1"/>
  <c r="V960" i="2" s="1"/>
  <c r="L960" i="2"/>
  <c r="N960" i="2" s="1"/>
  <c r="I960" i="2"/>
  <c r="J960" i="2" s="1"/>
  <c r="H960" i="2"/>
  <c r="F960" i="2"/>
  <c r="B960" i="2"/>
  <c r="P959" i="2"/>
  <c r="O959" i="2"/>
  <c r="U959" i="2" s="1"/>
  <c r="V959" i="2" s="1"/>
  <c r="N959" i="2"/>
  <c r="L959" i="2"/>
  <c r="I959" i="2"/>
  <c r="J959" i="2" s="1"/>
  <c r="H959" i="2"/>
  <c r="F959" i="2"/>
  <c r="B959" i="2"/>
  <c r="P958" i="2"/>
  <c r="L958" i="2"/>
  <c r="I958" i="2"/>
  <c r="J958" i="2" s="1"/>
  <c r="H958" i="2"/>
  <c r="F958" i="2"/>
  <c r="B958" i="2"/>
  <c r="P957" i="2"/>
  <c r="L957" i="2"/>
  <c r="O957" i="2" s="1"/>
  <c r="U957" i="2" s="1"/>
  <c r="V957" i="2" s="1"/>
  <c r="J957" i="2"/>
  <c r="I957" i="2"/>
  <c r="H957" i="2"/>
  <c r="F957" i="2"/>
  <c r="B957" i="2"/>
  <c r="P956" i="2"/>
  <c r="O956" i="2"/>
  <c r="U956" i="2" s="1"/>
  <c r="V956" i="2" s="1"/>
  <c r="L956" i="2"/>
  <c r="N956" i="2" s="1"/>
  <c r="I956" i="2"/>
  <c r="J956" i="2" s="1"/>
  <c r="H956" i="2"/>
  <c r="F956" i="2"/>
  <c r="B956" i="2"/>
  <c r="P955" i="2"/>
  <c r="O955" i="2"/>
  <c r="U955" i="2" s="1"/>
  <c r="V955" i="2" s="1"/>
  <c r="N955" i="2"/>
  <c r="L955" i="2"/>
  <c r="I955" i="2"/>
  <c r="J955" i="2" s="1"/>
  <c r="H955" i="2"/>
  <c r="F955" i="2"/>
  <c r="B955" i="2"/>
  <c r="P954" i="2"/>
  <c r="L954" i="2"/>
  <c r="I954" i="2"/>
  <c r="J954" i="2" s="1"/>
  <c r="H954" i="2"/>
  <c r="F954" i="2"/>
  <c r="B954" i="2"/>
  <c r="P953" i="2"/>
  <c r="L953" i="2"/>
  <c r="O953" i="2" s="1"/>
  <c r="U953" i="2" s="1"/>
  <c r="V953" i="2" s="1"/>
  <c r="J953" i="2"/>
  <c r="I953" i="2"/>
  <c r="H953" i="2"/>
  <c r="F953" i="2"/>
  <c r="B953" i="2"/>
  <c r="P952" i="2"/>
  <c r="O952" i="2"/>
  <c r="U952" i="2" s="1"/>
  <c r="V952" i="2" s="1"/>
  <c r="L952" i="2"/>
  <c r="N952" i="2" s="1"/>
  <c r="I952" i="2"/>
  <c r="J952" i="2" s="1"/>
  <c r="H952" i="2"/>
  <c r="F952" i="2"/>
  <c r="B952" i="2"/>
  <c r="P951" i="2"/>
  <c r="O951" i="2"/>
  <c r="U951" i="2" s="1"/>
  <c r="V951" i="2" s="1"/>
  <c r="N951" i="2"/>
  <c r="L951" i="2"/>
  <c r="I951" i="2"/>
  <c r="J951" i="2" s="1"/>
  <c r="H951" i="2"/>
  <c r="F951" i="2"/>
  <c r="B951" i="2"/>
  <c r="P950" i="2"/>
  <c r="L950" i="2"/>
  <c r="I950" i="2"/>
  <c r="J950" i="2" s="1"/>
  <c r="H950" i="2"/>
  <c r="F950" i="2"/>
  <c r="B950" i="2"/>
  <c r="P949" i="2"/>
  <c r="L949" i="2"/>
  <c r="O949" i="2" s="1"/>
  <c r="U949" i="2" s="1"/>
  <c r="V949" i="2" s="1"/>
  <c r="J949" i="2"/>
  <c r="I949" i="2"/>
  <c r="H949" i="2"/>
  <c r="F949" i="2"/>
  <c r="B949" i="2"/>
  <c r="P948" i="2"/>
  <c r="O948" i="2"/>
  <c r="U948" i="2" s="1"/>
  <c r="V948" i="2" s="1"/>
  <c r="L948" i="2"/>
  <c r="N948" i="2" s="1"/>
  <c r="I948" i="2"/>
  <c r="J948" i="2" s="1"/>
  <c r="H948" i="2"/>
  <c r="F948" i="2"/>
  <c r="B948" i="2"/>
  <c r="P947" i="2"/>
  <c r="O947" i="2"/>
  <c r="U947" i="2" s="1"/>
  <c r="V947" i="2" s="1"/>
  <c r="N947" i="2"/>
  <c r="L947" i="2"/>
  <c r="I947" i="2"/>
  <c r="J947" i="2" s="1"/>
  <c r="H947" i="2"/>
  <c r="F947" i="2"/>
  <c r="B947" i="2"/>
  <c r="P946" i="2"/>
  <c r="L946" i="2"/>
  <c r="I946" i="2"/>
  <c r="J946" i="2" s="1"/>
  <c r="H946" i="2"/>
  <c r="F946" i="2"/>
  <c r="B946" i="2"/>
  <c r="P945" i="2"/>
  <c r="L945" i="2"/>
  <c r="O945" i="2" s="1"/>
  <c r="U945" i="2" s="1"/>
  <c r="V945" i="2" s="1"/>
  <c r="J945" i="2"/>
  <c r="I945" i="2"/>
  <c r="H945" i="2"/>
  <c r="F945" i="2"/>
  <c r="B945" i="2"/>
  <c r="P944" i="2"/>
  <c r="O944" i="2"/>
  <c r="U944" i="2" s="1"/>
  <c r="V944" i="2" s="1"/>
  <c r="L944" i="2"/>
  <c r="N944" i="2" s="1"/>
  <c r="I944" i="2"/>
  <c r="J944" i="2" s="1"/>
  <c r="H944" i="2"/>
  <c r="F944" i="2"/>
  <c r="B944" i="2"/>
  <c r="P943" i="2"/>
  <c r="O943" i="2"/>
  <c r="U943" i="2" s="1"/>
  <c r="V943" i="2" s="1"/>
  <c r="N943" i="2"/>
  <c r="L943" i="2"/>
  <c r="I943" i="2"/>
  <c r="J943" i="2" s="1"/>
  <c r="H943" i="2"/>
  <c r="F943" i="2"/>
  <c r="B943" i="2"/>
  <c r="P942" i="2"/>
  <c r="L942" i="2"/>
  <c r="I942" i="2"/>
  <c r="J942" i="2" s="1"/>
  <c r="H942" i="2"/>
  <c r="F942" i="2"/>
  <c r="B942" i="2"/>
  <c r="P941" i="2"/>
  <c r="L941" i="2"/>
  <c r="J941" i="2"/>
  <c r="I941" i="2"/>
  <c r="H941" i="2"/>
  <c r="F941" i="2"/>
  <c r="B941" i="2"/>
  <c r="P940" i="2"/>
  <c r="O940" i="2"/>
  <c r="U940" i="2" s="1"/>
  <c r="V940" i="2" s="1"/>
  <c r="L940" i="2"/>
  <c r="N940" i="2" s="1"/>
  <c r="I940" i="2"/>
  <c r="J940" i="2" s="1"/>
  <c r="H940" i="2"/>
  <c r="F940" i="2"/>
  <c r="B940" i="2"/>
  <c r="P939" i="2"/>
  <c r="O939" i="2"/>
  <c r="U939" i="2" s="1"/>
  <c r="V939" i="2" s="1"/>
  <c r="N939" i="2"/>
  <c r="L939" i="2"/>
  <c r="I939" i="2"/>
  <c r="J939" i="2" s="1"/>
  <c r="H939" i="2"/>
  <c r="F939" i="2"/>
  <c r="B939" i="2"/>
  <c r="P938" i="2"/>
  <c r="N938" i="2"/>
  <c r="L938" i="2"/>
  <c r="O938" i="2" s="1"/>
  <c r="U938" i="2" s="1"/>
  <c r="V938" i="2" s="1"/>
  <c r="I938" i="2"/>
  <c r="J938" i="2" s="1"/>
  <c r="H938" i="2"/>
  <c r="F938" i="2"/>
  <c r="B938" i="2"/>
  <c r="P937" i="2"/>
  <c r="L937" i="2"/>
  <c r="J937" i="2"/>
  <c r="I937" i="2"/>
  <c r="H937" i="2"/>
  <c r="F937" i="2"/>
  <c r="B937" i="2"/>
  <c r="P936" i="2"/>
  <c r="O936" i="2"/>
  <c r="U936" i="2" s="1"/>
  <c r="V936" i="2" s="1"/>
  <c r="L936" i="2"/>
  <c r="N936" i="2" s="1"/>
  <c r="J936" i="2"/>
  <c r="I936" i="2"/>
  <c r="H936" i="2"/>
  <c r="F936" i="2"/>
  <c r="B936" i="2"/>
  <c r="P935" i="2"/>
  <c r="O935" i="2"/>
  <c r="U935" i="2" s="1"/>
  <c r="V935" i="2" s="1"/>
  <c r="N935" i="2"/>
  <c r="L935" i="2"/>
  <c r="I935" i="2"/>
  <c r="J935" i="2" s="1"/>
  <c r="H935" i="2"/>
  <c r="F935" i="2"/>
  <c r="B935" i="2"/>
  <c r="P934" i="2"/>
  <c r="L934" i="2"/>
  <c r="O934" i="2" s="1"/>
  <c r="U934" i="2" s="1"/>
  <c r="V934" i="2" s="1"/>
  <c r="I934" i="2"/>
  <c r="J934" i="2" s="1"/>
  <c r="H934" i="2"/>
  <c r="F934" i="2"/>
  <c r="B934" i="2"/>
  <c r="P933" i="2"/>
  <c r="L933" i="2"/>
  <c r="O933" i="2" s="1"/>
  <c r="U933" i="2" s="1"/>
  <c r="V933" i="2" s="1"/>
  <c r="J933" i="2"/>
  <c r="I933" i="2"/>
  <c r="H933" i="2"/>
  <c r="F933" i="2"/>
  <c r="B933" i="2"/>
  <c r="P932" i="2"/>
  <c r="L932" i="2"/>
  <c r="J932" i="2"/>
  <c r="I932" i="2"/>
  <c r="H932" i="2"/>
  <c r="F932" i="2"/>
  <c r="B932" i="2"/>
  <c r="P931" i="2"/>
  <c r="O931" i="2"/>
  <c r="U931" i="2" s="1"/>
  <c r="V931" i="2" s="1"/>
  <c r="N931" i="2"/>
  <c r="L931" i="2"/>
  <c r="I931" i="2"/>
  <c r="J931" i="2" s="1"/>
  <c r="H931" i="2"/>
  <c r="F931" i="2"/>
  <c r="B931" i="2"/>
  <c r="P930" i="2"/>
  <c r="N930" i="2"/>
  <c r="L930" i="2"/>
  <c r="O930" i="2" s="1"/>
  <c r="U930" i="2" s="1"/>
  <c r="V930" i="2" s="1"/>
  <c r="I930" i="2"/>
  <c r="J930" i="2" s="1"/>
  <c r="H930" i="2"/>
  <c r="F930" i="2"/>
  <c r="B930" i="2"/>
  <c r="P929" i="2"/>
  <c r="N929" i="2"/>
  <c r="L929" i="2"/>
  <c r="O929" i="2" s="1"/>
  <c r="U929" i="2" s="1"/>
  <c r="V929" i="2" s="1"/>
  <c r="J929" i="2"/>
  <c r="I929" i="2"/>
  <c r="H929" i="2"/>
  <c r="F929" i="2"/>
  <c r="B929" i="2"/>
  <c r="P928" i="2"/>
  <c r="L928" i="2"/>
  <c r="N928" i="2" s="1"/>
  <c r="J928" i="2"/>
  <c r="I928" i="2"/>
  <c r="H928" i="2"/>
  <c r="F928" i="2"/>
  <c r="B928" i="2"/>
  <c r="P927" i="2"/>
  <c r="O927" i="2"/>
  <c r="U927" i="2" s="1"/>
  <c r="V927" i="2" s="1"/>
  <c r="N927" i="2"/>
  <c r="L927" i="2"/>
  <c r="I927" i="2"/>
  <c r="J927" i="2" s="1"/>
  <c r="H927" i="2"/>
  <c r="F927" i="2"/>
  <c r="B927" i="2"/>
  <c r="P926" i="2"/>
  <c r="L926" i="2"/>
  <c r="J926" i="2"/>
  <c r="I926" i="2"/>
  <c r="H926" i="2"/>
  <c r="F926" i="2"/>
  <c r="B926" i="2"/>
  <c r="P925" i="2"/>
  <c r="O925" i="2"/>
  <c r="U925" i="2" s="1"/>
  <c r="V925" i="2" s="1"/>
  <c r="L925" i="2"/>
  <c r="N925" i="2" s="1"/>
  <c r="J925" i="2"/>
  <c r="I925" i="2"/>
  <c r="H925" i="2"/>
  <c r="F925" i="2"/>
  <c r="B925" i="2"/>
  <c r="P924" i="2"/>
  <c r="O924" i="2"/>
  <c r="U924" i="2" s="1"/>
  <c r="V924" i="2" s="1"/>
  <c r="N924" i="2"/>
  <c r="L924" i="2"/>
  <c r="I924" i="2"/>
  <c r="J924" i="2" s="1"/>
  <c r="H924" i="2"/>
  <c r="F924" i="2"/>
  <c r="B924" i="2"/>
  <c r="P923" i="2"/>
  <c r="N923" i="2"/>
  <c r="L923" i="2"/>
  <c r="O923" i="2" s="1"/>
  <c r="U923" i="2" s="1"/>
  <c r="V923" i="2" s="1"/>
  <c r="I923" i="2"/>
  <c r="J923" i="2" s="1"/>
  <c r="H923" i="2"/>
  <c r="F923" i="2"/>
  <c r="B923" i="2"/>
  <c r="P922" i="2"/>
  <c r="L922" i="2"/>
  <c r="J922" i="2"/>
  <c r="I922" i="2"/>
  <c r="H922" i="2"/>
  <c r="F922" i="2"/>
  <c r="B922" i="2"/>
  <c r="P921" i="2"/>
  <c r="O921" i="2"/>
  <c r="U921" i="2" s="1"/>
  <c r="V921" i="2" s="1"/>
  <c r="L921" i="2"/>
  <c r="N921" i="2" s="1"/>
  <c r="J921" i="2"/>
  <c r="I921" i="2"/>
  <c r="H921" i="2"/>
  <c r="F921" i="2"/>
  <c r="B921" i="2"/>
  <c r="P920" i="2"/>
  <c r="O920" i="2"/>
  <c r="U920" i="2" s="1"/>
  <c r="V920" i="2" s="1"/>
  <c r="N920" i="2"/>
  <c r="L920" i="2"/>
  <c r="I920" i="2"/>
  <c r="J920" i="2" s="1"/>
  <c r="H920" i="2"/>
  <c r="F920" i="2"/>
  <c r="B920" i="2"/>
  <c r="P919" i="2"/>
  <c r="N919" i="2"/>
  <c r="L919" i="2"/>
  <c r="O919" i="2" s="1"/>
  <c r="U919" i="2" s="1"/>
  <c r="V919" i="2" s="1"/>
  <c r="I919" i="2"/>
  <c r="J919" i="2" s="1"/>
  <c r="H919" i="2"/>
  <c r="F919" i="2"/>
  <c r="B919" i="2"/>
  <c r="P918" i="2"/>
  <c r="L918" i="2"/>
  <c r="J918" i="2"/>
  <c r="I918" i="2"/>
  <c r="H918" i="2"/>
  <c r="F918" i="2"/>
  <c r="B918" i="2"/>
  <c r="P917" i="2"/>
  <c r="O917" i="2"/>
  <c r="U917" i="2" s="1"/>
  <c r="V917" i="2" s="1"/>
  <c r="L917" i="2"/>
  <c r="N917" i="2" s="1"/>
  <c r="J917" i="2"/>
  <c r="I917" i="2"/>
  <c r="H917" i="2"/>
  <c r="F917" i="2"/>
  <c r="B917" i="2"/>
  <c r="P916" i="2"/>
  <c r="O916" i="2"/>
  <c r="U916" i="2" s="1"/>
  <c r="V916" i="2" s="1"/>
  <c r="N916" i="2"/>
  <c r="L916" i="2"/>
  <c r="I916" i="2"/>
  <c r="J916" i="2" s="1"/>
  <c r="H916" i="2"/>
  <c r="F916" i="2"/>
  <c r="B916" i="2"/>
  <c r="P915" i="2"/>
  <c r="N915" i="2"/>
  <c r="L915" i="2"/>
  <c r="O915" i="2" s="1"/>
  <c r="U915" i="2" s="1"/>
  <c r="V915" i="2" s="1"/>
  <c r="I915" i="2"/>
  <c r="J915" i="2" s="1"/>
  <c r="H915" i="2"/>
  <c r="F915" i="2"/>
  <c r="B915" i="2"/>
  <c r="P914" i="2"/>
  <c r="L914" i="2"/>
  <c r="J914" i="2"/>
  <c r="I914" i="2"/>
  <c r="H914" i="2"/>
  <c r="F914" i="2"/>
  <c r="B914" i="2"/>
  <c r="P913" i="2"/>
  <c r="O913" i="2"/>
  <c r="U913" i="2" s="1"/>
  <c r="V913" i="2" s="1"/>
  <c r="L913" i="2"/>
  <c r="N913" i="2" s="1"/>
  <c r="J913" i="2"/>
  <c r="I913" i="2"/>
  <c r="H913" i="2"/>
  <c r="F913" i="2"/>
  <c r="B913" i="2"/>
  <c r="P912" i="2"/>
  <c r="O912" i="2"/>
  <c r="U912" i="2" s="1"/>
  <c r="V912" i="2" s="1"/>
  <c r="N912" i="2"/>
  <c r="L912" i="2"/>
  <c r="I912" i="2"/>
  <c r="J912" i="2" s="1"/>
  <c r="H912" i="2"/>
  <c r="F912" i="2"/>
  <c r="B912" i="2"/>
  <c r="P911" i="2"/>
  <c r="N911" i="2"/>
  <c r="L911" i="2"/>
  <c r="O911" i="2" s="1"/>
  <c r="U911" i="2" s="1"/>
  <c r="V911" i="2" s="1"/>
  <c r="I911" i="2"/>
  <c r="J911" i="2" s="1"/>
  <c r="H911" i="2"/>
  <c r="F911" i="2"/>
  <c r="B911" i="2"/>
  <c r="P910" i="2"/>
  <c r="L910" i="2"/>
  <c r="J910" i="2"/>
  <c r="I910" i="2"/>
  <c r="H910" i="2"/>
  <c r="F910" i="2"/>
  <c r="B910" i="2"/>
  <c r="P909" i="2"/>
  <c r="O909" i="2"/>
  <c r="U909" i="2" s="1"/>
  <c r="V909" i="2" s="1"/>
  <c r="L909" i="2"/>
  <c r="N909" i="2" s="1"/>
  <c r="J909" i="2"/>
  <c r="I909" i="2"/>
  <c r="H909" i="2"/>
  <c r="F909" i="2"/>
  <c r="B909" i="2"/>
  <c r="P908" i="2"/>
  <c r="O908" i="2"/>
  <c r="U908" i="2" s="1"/>
  <c r="V908" i="2" s="1"/>
  <c r="N908" i="2"/>
  <c r="L908" i="2"/>
  <c r="I908" i="2"/>
  <c r="J908" i="2" s="1"/>
  <c r="H908" i="2"/>
  <c r="F908" i="2"/>
  <c r="B908" i="2"/>
  <c r="P907" i="2"/>
  <c r="N907" i="2"/>
  <c r="L907" i="2"/>
  <c r="O907" i="2" s="1"/>
  <c r="U907" i="2" s="1"/>
  <c r="V907" i="2" s="1"/>
  <c r="J907" i="2"/>
  <c r="I907" i="2"/>
  <c r="H907" i="2"/>
  <c r="F907" i="2"/>
  <c r="B907" i="2"/>
  <c r="P906" i="2"/>
  <c r="L906" i="2"/>
  <c r="J906" i="2"/>
  <c r="I906" i="2"/>
  <c r="H906" i="2"/>
  <c r="F906" i="2"/>
  <c r="B906" i="2"/>
  <c r="P905" i="2"/>
  <c r="O905" i="2"/>
  <c r="U905" i="2" s="1"/>
  <c r="V905" i="2" s="1"/>
  <c r="N905" i="2"/>
  <c r="L905" i="2"/>
  <c r="J905" i="2"/>
  <c r="I905" i="2"/>
  <c r="H905" i="2"/>
  <c r="F905" i="2"/>
  <c r="B905" i="2"/>
  <c r="P904" i="2"/>
  <c r="O904" i="2"/>
  <c r="U904" i="2" s="1"/>
  <c r="V904" i="2" s="1"/>
  <c r="N904" i="2"/>
  <c r="L904" i="2"/>
  <c r="I904" i="2"/>
  <c r="J904" i="2" s="1"/>
  <c r="H904" i="2"/>
  <c r="F904" i="2"/>
  <c r="B904" i="2"/>
  <c r="P903" i="2"/>
  <c r="N903" i="2"/>
  <c r="L903" i="2"/>
  <c r="O903" i="2" s="1"/>
  <c r="U903" i="2" s="1"/>
  <c r="V903" i="2" s="1"/>
  <c r="J903" i="2"/>
  <c r="I903" i="2"/>
  <c r="H903" i="2"/>
  <c r="F903" i="2"/>
  <c r="B903" i="2"/>
  <c r="P902" i="2"/>
  <c r="L902" i="2"/>
  <c r="J902" i="2"/>
  <c r="I902" i="2"/>
  <c r="H902" i="2"/>
  <c r="F902" i="2"/>
  <c r="B902" i="2"/>
  <c r="P901" i="2"/>
  <c r="O901" i="2"/>
  <c r="U901" i="2" s="1"/>
  <c r="V901" i="2" s="1"/>
  <c r="N901" i="2"/>
  <c r="L901" i="2"/>
  <c r="J901" i="2"/>
  <c r="I901" i="2"/>
  <c r="H901" i="2"/>
  <c r="F901" i="2"/>
  <c r="B901" i="2"/>
  <c r="P900" i="2"/>
  <c r="O900" i="2"/>
  <c r="U900" i="2" s="1"/>
  <c r="V900" i="2" s="1"/>
  <c r="L900" i="2"/>
  <c r="N900" i="2" s="1"/>
  <c r="I900" i="2"/>
  <c r="J900" i="2" s="1"/>
  <c r="H900" i="2"/>
  <c r="F900" i="2"/>
  <c r="B900" i="2"/>
  <c r="P899" i="2"/>
  <c r="N899" i="2"/>
  <c r="L899" i="2"/>
  <c r="O899" i="2" s="1"/>
  <c r="U899" i="2" s="1"/>
  <c r="V899" i="2" s="1"/>
  <c r="J899" i="2"/>
  <c r="I899" i="2"/>
  <c r="H899" i="2"/>
  <c r="F899" i="2"/>
  <c r="B899" i="2"/>
  <c r="P898" i="2"/>
  <c r="L898" i="2"/>
  <c r="I898" i="2"/>
  <c r="J898" i="2" s="1"/>
  <c r="H898" i="2"/>
  <c r="F898" i="2"/>
  <c r="B898" i="2"/>
  <c r="P897" i="2"/>
  <c r="O897" i="2"/>
  <c r="U897" i="2" s="1"/>
  <c r="V897" i="2" s="1"/>
  <c r="N897" i="2"/>
  <c r="L897" i="2"/>
  <c r="J897" i="2"/>
  <c r="I897" i="2"/>
  <c r="H897" i="2"/>
  <c r="F897" i="2"/>
  <c r="B897" i="2"/>
  <c r="P896" i="2"/>
  <c r="O896" i="2"/>
  <c r="U896" i="2" s="1"/>
  <c r="V896" i="2" s="1"/>
  <c r="L896" i="2"/>
  <c r="N896" i="2" s="1"/>
  <c r="I896" i="2"/>
  <c r="J896" i="2" s="1"/>
  <c r="H896" i="2"/>
  <c r="F896" i="2"/>
  <c r="B896" i="2"/>
  <c r="P895" i="2"/>
  <c r="N895" i="2"/>
  <c r="L895" i="2"/>
  <c r="O895" i="2" s="1"/>
  <c r="U895" i="2" s="1"/>
  <c r="V895" i="2" s="1"/>
  <c r="J895" i="2"/>
  <c r="I895" i="2"/>
  <c r="H895" i="2"/>
  <c r="F895" i="2"/>
  <c r="B895" i="2"/>
  <c r="P894" i="2"/>
  <c r="L894" i="2"/>
  <c r="I894" i="2"/>
  <c r="J894" i="2" s="1"/>
  <c r="H894" i="2"/>
  <c r="F894" i="2"/>
  <c r="B894" i="2"/>
  <c r="P893" i="2"/>
  <c r="O893" i="2"/>
  <c r="U893" i="2" s="1"/>
  <c r="V893" i="2" s="1"/>
  <c r="N893" i="2"/>
  <c r="L893" i="2"/>
  <c r="J893" i="2"/>
  <c r="I893" i="2"/>
  <c r="H893" i="2"/>
  <c r="F893" i="2"/>
  <c r="B893" i="2"/>
  <c r="P892" i="2"/>
  <c r="O892" i="2"/>
  <c r="U892" i="2" s="1"/>
  <c r="V892" i="2" s="1"/>
  <c r="L892" i="2"/>
  <c r="N892" i="2" s="1"/>
  <c r="I892" i="2"/>
  <c r="J892" i="2" s="1"/>
  <c r="H892" i="2"/>
  <c r="F892" i="2"/>
  <c r="B892" i="2"/>
  <c r="P891" i="2"/>
  <c r="N891" i="2"/>
  <c r="L891" i="2"/>
  <c r="O891" i="2" s="1"/>
  <c r="U891" i="2" s="1"/>
  <c r="V891" i="2" s="1"/>
  <c r="J891" i="2"/>
  <c r="I891" i="2"/>
  <c r="H891" i="2"/>
  <c r="F891" i="2"/>
  <c r="B891" i="2"/>
  <c r="P890" i="2"/>
  <c r="L890" i="2"/>
  <c r="I890" i="2"/>
  <c r="J890" i="2" s="1"/>
  <c r="H890" i="2"/>
  <c r="F890" i="2"/>
  <c r="B890" i="2"/>
  <c r="P889" i="2"/>
  <c r="O889" i="2"/>
  <c r="U889" i="2" s="1"/>
  <c r="V889" i="2" s="1"/>
  <c r="N889" i="2"/>
  <c r="L889" i="2"/>
  <c r="J889" i="2"/>
  <c r="I889" i="2"/>
  <c r="H889" i="2"/>
  <c r="F889" i="2"/>
  <c r="B889" i="2"/>
  <c r="P888" i="2"/>
  <c r="O888" i="2"/>
  <c r="U888" i="2" s="1"/>
  <c r="V888" i="2" s="1"/>
  <c r="N888" i="2"/>
  <c r="L888" i="2"/>
  <c r="I888" i="2"/>
  <c r="J888" i="2" s="1"/>
  <c r="H888" i="2"/>
  <c r="F888" i="2"/>
  <c r="B888" i="2"/>
  <c r="P887" i="2"/>
  <c r="N887" i="2"/>
  <c r="L887" i="2"/>
  <c r="O887" i="2" s="1"/>
  <c r="U887" i="2" s="1"/>
  <c r="V887" i="2" s="1"/>
  <c r="J887" i="2"/>
  <c r="I887" i="2"/>
  <c r="H887" i="2"/>
  <c r="F887" i="2"/>
  <c r="B887" i="2"/>
  <c r="P886" i="2"/>
  <c r="L886" i="2"/>
  <c r="J886" i="2"/>
  <c r="I886" i="2"/>
  <c r="H886" i="2"/>
  <c r="F886" i="2"/>
  <c r="B886" i="2"/>
  <c r="P885" i="2"/>
  <c r="O885" i="2"/>
  <c r="U885" i="2" s="1"/>
  <c r="V885" i="2" s="1"/>
  <c r="N885" i="2"/>
  <c r="L885" i="2"/>
  <c r="J885" i="2"/>
  <c r="I885" i="2"/>
  <c r="H885" i="2"/>
  <c r="F885" i="2"/>
  <c r="B885" i="2"/>
  <c r="P884" i="2"/>
  <c r="O884" i="2"/>
  <c r="U884" i="2" s="1"/>
  <c r="V884" i="2" s="1"/>
  <c r="N884" i="2"/>
  <c r="L884" i="2"/>
  <c r="I884" i="2"/>
  <c r="J884" i="2" s="1"/>
  <c r="H884" i="2"/>
  <c r="F884" i="2"/>
  <c r="B884" i="2"/>
  <c r="P883" i="2"/>
  <c r="N883" i="2"/>
  <c r="L883" i="2"/>
  <c r="O883" i="2" s="1"/>
  <c r="U883" i="2" s="1"/>
  <c r="V883" i="2" s="1"/>
  <c r="J883" i="2"/>
  <c r="I883" i="2"/>
  <c r="H883" i="2"/>
  <c r="F883" i="2"/>
  <c r="B883" i="2"/>
  <c r="P882" i="2"/>
  <c r="L882" i="2"/>
  <c r="J882" i="2"/>
  <c r="I882" i="2"/>
  <c r="H882" i="2"/>
  <c r="F882" i="2"/>
  <c r="B882" i="2"/>
  <c r="P881" i="2"/>
  <c r="O881" i="2"/>
  <c r="U881" i="2" s="1"/>
  <c r="V881" i="2" s="1"/>
  <c r="N881" i="2"/>
  <c r="L881" i="2"/>
  <c r="J881" i="2"/>
  <c r="I881" i="2"/>
  <c r="H881" i="2"/>
  <c r="F881" i="2"/>
  <c r="B881" i="2"/>
  <c r="P880" i="2"/>
  <c r="O880" i="2"/>
  <c r="U880" i="2" s="1"/>
  <c r="V880" i="2" s="1"/>
  <c r="N880" i="2"/>
  <c r="L880" i="2"/>
  <c r="I880" i="2"/>
  <c r="J880" i="2" s="1"/>
  <c r="H880" i="2"/>
  <c r="F880" i="2"/>
  <c r="B880" i="2"/>
  <c r="P879" i="2"/>
  <c r="N879" i="2"/>
  <c r="L879" i="2"/>
  <c r="O879" i="2" s="1"/>
  <c r="U879" i="2" s="1"/>
  <c r="V879" i="2" s="1"/>
  <c r="J879" i="2"/>
  <c r="I879" i="2"/>
  <c r="H879" i="2"/>
  <c r="F879" i="2"/>
  <c r="B879" i="2"/>
  <c r="P878" i="2"/>
  <c r="L878" i="2"/>
  <c r="J878" i="2"/>
  <c r="I878" i="2"/>
  <c r="H878" i="2"/>
  <c r="F878" i="2"/>
  <c r="B878" i="2"/>
  <c r="P877" i="2"/>
  <c r="O877" i="2"/>
  <c r="U877" i="2" s="1"/>
  <c r="V877" i="2" s="1"/>
  <c r="N877" i="2"/>
  <c r="L877" i="2"/>
  <c r="J877" i="2"/>
  <c r="I877" i="2"/>
  <c r="H877" i="2"/>
  <c r="F877" i="2"/>
  <c r="B877" i="2"/>
  <c r="P876" i="2"/>
  <c r="O876" i="2"/>
  <c r="U876" i="2" s="1"/>
  <c r="V876" i="2" s="1"/>
  <c r="N876" i="2"/>
  <c r="L876" i="2"/>
  <c r="I876" i="2"/>
  <c r="J876" i="2" s="1"/>
  <c r="H876" i="2"/>
  <c r="F876" i="2"/>
  <c r="B876" i="2"/>
  <c r="P875" i="2"/>
  <c r="N875" i="2"/>
  <c r="L875" i="2"/>
  <c r="O875" i="2" s="1"/>
  <c r="U875" i="2" s="1"/>
  <c r="V875" i="2" s="1"/>
  <c r="J875" i="2"/>
  <c r="I875" i="2"/>
  <c r="H875" i="2"/>
  <c r="F875" i="2"/>
  <c r="B875" i="2"/>
  <c r="P874" i="2"/>
  <c r="L874" i="2"/>
  <c r="J874" i="2"/>
  <c r="I874" i="2"/>
  <c r="H874" i="2"/>
  <c r="F874" i="2"/>
  <c r="B874" i="2"/>
  <c r="P873" i="2"/>
  <c r="O873" i="2"/>
  <c r="U873" i="2" s="1"/>
  <c r="V873" i="2" s="1"/>
  <c r="N873" i="2"/>
  <c r="L873" i="2"/>
  <c r="J873" i="2"/>
  <c r="I873" i="2"/>
  <c r="H873" i="2"/>
  <c r="F873" i="2"/>
  <c r="B873" i="2"/>
  <c r="P872" i="2"/>
  <c r="O872" i="2"/>
  <c r="U872" i="2" s="1"/>
  <c r="V872" i="2" s="1"/>
  <c r="N872" i="2"/>
  <c r="L872" i="2"/>
  <c r="I872" i="2"/>
  <c r="J872" i="2" s="1"/>
  <c r="H872" i="2"/>
  <c r="F872" i="2"/>
  <c r="B872" i="2"/>
  <c r="P871" i="2"/>
  <c r="N871" i="2"/>
  <c r="L871" i="2"/>
  <c r="O871" i="2" s="1"/>
  <c r="U871" i="2" s="1"/>
  <c r="V871" i="2" s="1"/>
  <c r="J871" i="2"/>
  <c r="I871" i="2"/>
  <c r="H871" i="2"/>
  <c r="F871" i="2"/>
  <c r="B871" i="2"/>
  <c r="P870" i="2"/>
  <c r="L870" i="2"/>
  <c r="J870" i="2"/>
  <c r="I870" i="2"/>
  <c r="H870" i="2"/>
  <c r="F870" i="2"/>
  <c r="B870" i="2"/>
  <c r="P869" i="2"/>
  <c r="O869" i="2"/>
  <c r="U869" i="2" s="1"/>
  <c r="V869" i="2" s="1"/>
  <c r="N869" i="2"/>
  <c r="L869" i="2"/>
  <c r="J869" i="2"/>
  <c r="I869" i="2"/>
  <c r="H869" i="2"/>
  <c r="F869" i="2"/>
  <c r="B869" i="2"/>
  <c r="P868" i="2"/>
  <c r="O868" i="2"/>
  <c r="U868" i="2" s="1"/>
  <c r="V868" i="2" s="1"/>
  <c r="N868" i="2"/>
  <c r="L868" i="2"/>
  <c r="I868" i="2"/>
  <c r="J868" i="2" s="1"/>
  <c r="H868" i="2"/>
  <c r="F868" i="2"/>
  <c r="B868" i="2"/>
  <c r="P867" i="2"/>
  <c r="N867" i="2"/>
  <c r="L867" i="2"/>
  <c r="O867" i="2" s="1"/>
  <c r="U867" i="2" s="1"/>
  <c r="V867" i="2" s="1"/>
  <c r="J867" i="2"/>
  <c r="I867" i="2"/>
  <c r="H867" i="2"/>
  <c r="F867" i="2"/>
  <c r="B867" i="2"/>
  <c r="P866" i="2"/>
  <c r="L866" i="2"/>
  <c r="J866" i="2"/>
  <c r="I866" i="2"/>
  <c r="H866" i="2"/>
  <c r="F866" i="2"/>
  <c r="B866" i="2"/>
  <c r="P865" i="2"/>
  <c r="O865" i="2"/>
  <c r="U865" i="2" s="1"/>
  <c r="V865" i="2" s="1"/>
  <c r="N865" i="2"/>
  <c r="L865" i="2"/>
  <c r="J865" i="2"/>
  <c r="I865" i="2"/>
  <c r="H865" i="2"/>
  <c r="F865" i="2"/>
  <c r="B865" i="2"/>
  <c r="P864" i="2"/>
  <c r="O864" i="2"/>
  <c r="U864" i="2" s="1"/>
  <c r="V864" i="2" s="1"/>
  <c r="N864" i="2"/>
  <c r="L864" i="2"/>
  <c r="I864" i="2"/>
  <c r="J864" i="2" s="1"/>
  <c r="H864" i="2"/>
  <c r="F864" i="2"/>
  <c r="B864" i="2"/>
  <c r="P863" i="2"/>
  <c r="N863" i="2"/>
  <c r="L863" i="2"/>
  <c r="O863" i="2" s="1"/>
  <c r="U863" i="2" s="1"/>
  <c r="V863" i="2" s="1"/>
  <c r="J863" i="2"/>
  <c r="I863" i="2"/>
  <c r="H863" i="2"/>
  <c r="F863" i="2"/>
  <c r="B863" i="2"/>
  <c r="P862" i="2"/>
  <c r="L862" i="2"/>
  <c r="J862" i="2"/>
  <c r="I862" i="2"/>
  <c r="H862" i="2"/>
  <c r="F862" i="2"/>
  <c r="B862" i="2"/>
  <c r="P861" i="2"/>
  <c r="O861" i="2"/>
  <c r="U861" i="2" s="1"/>
  <c r="V861" i="2" s="1"/>
  <c r="N861" i="2"/>
  <c r="L861" i="2"/>
  <c r="J861" i="2"/>
  <c r="I861" i="2"/>
  <c r="H861" i="2"/>
  <c r="F861" i="2"/>
  <c r="B861" i="2"/>
  <c r="P860" i="2"/>
  <c r="O860" i="2"/>
  <c r="U860" i="2" s="1"/>
  <c r="V860" i="2" s="1"/>
  <c r="N860" i="2"/>
  <c r="L860" i="2"/>
  <c r="I860" i="2"/>
  <c r="J860" i="2" s="1"/>
  <c r="H860" i="2"/>
  <c r="F860" i="2"/>
  <c r="B860" i="2"/>
  <c r="P859" i="2"/>
  <c r="N859" i="2"/>
  <c r="L859" i="2"/>
  <c r="O859" i="2" s="1"/>
  <c r="U859" i="2" s="1"/>
  <c r="V859" i="2" s="1"/>
  <c r="J859" i="2"/>
  <c r="I859" i="2"/>
  <c r="H859" i="2"/>
  <c r="F859" i="2"/>
  <c r="B859" i="2"/>
  <c r="P858" i="2"/>
  <c r="L858" i="2"/>
  <c r="J858" i="2"/>
  <c r="I858" i="2"/>
  <c r="H858" i="2"/>
  <c r="F858" i="2"/>
  <c r="B858" i="2"/>
  <c r="P857" i="2"/>
  <c r="O857" i="2"/>
  <c r="U857" i="2" s="1"/>
  <c r="V857" i="2" s="1"/>
  <c r="N857" i="2"/>
  <c r="L857" i="2"/>
  <c r="J857" i="2"/>
  <c r="I857" i="2"/>
  <c r="H857" i="2"/>
  <c r="F857" i="2"/>
  <c r="B857" i="2"/>
  <c r="P856" i="2"/>
  <c r="O856" i="2"/>
  <c r="U856" i="2" s="1"/>
  <c r="V856" i="2" s="1"/>
  <c r="N856" i="2"/>
  <c r="L856" i="2"/>
  <c r="I856" i="2"/>
  <c r="J856" i="2" s="1"/>
  <c r="H856" i="2"/>
  <c r="F856" i="2"/>
  <c r="B856" i="2"/>
  <c r="P855" i="2"/>
  <c r="N855" i="2"/>
  <c r="L855" i="2"/>
  <c r="O855" i="2" s="1"/>
  <c r="U855" i="2" s="1"/>
  <c r="V855" i="2" s="1"/>
  <c r="J855" i="2"/>
  <c r="I855" i="2"/>
  <c r="H855" i="2"/>
  <c r="F855" i="2"/>
  <c r="B855" i="2"/>
  <c r="P854" i="2"/>
  <c r="L854" i="2"/>
  <c r="J854" i="2"/>
  <c r="I854" i="2"/>
  <c r="H854" i="2"/>
  <c r="F854" i="2"/>
  <c r="B854" i="2"/>
  <c r="P853" i="2"/>
  <c r="O853" i="2"/>
  <c r="U853" i="2" s="1"/>
  <c r="V853" i="2" s="1"/>
  <c r="N853" i="2"/>
  <c r="L853" i="2"/>
  <c r="J853" i="2"/>
  <c r="I853" i="2"/>
  <c r="H853" i="2"/>
  <c r="F853" i="2"/>
  <c r="B853" i="2"/>
  <c r="P852" i="2"/>
  <c r="O852" i="2"/>
  <c r="U852" i="2" s="1"/>
  <c r="V852" i="2" s="1"/>
  <c r="N852" i="2"/>
  <c r="L852" i="2"/>
  <c r="I852" i="2"/>
  <c r="J852" i="2" s="1"/>
  <c r="H852" i="2"/>
  <c r="F852" i="2"/>
  <c r="B852" i="2"/>
  <c r="P851" i="2"/>
  <c r="N851" i="2"/>
  <c r="L851" i="2"/>
  <c r="O851" i="2" s="1"/>
  <c r="U851" i="2" s="1"/>
  <c r="V851" i="2" s="1"/>
  <c r="J851" i="2"/>
  <c r="I851" i="2"/>
  <c r="H851" i="2"/>
  <c r="F851" i="2"/>
  <c r="B851" i="2"/>
  <c r="P850" i="2"/>
  <c r="L850" i="2"/>
  <c r="J850" i="2"/>
  <c r="I850" i="2"/>
  <c r="H850" i="2"/>
  <c r="F850" i="2"/>
  <c r="B850" i="2"/>
  <c r="P849" i="2"/>
  <c r="O849" i="2"/>
  <c r="U849" i="2" s="1"/>
  <c r="V849" i="2" s="1"/>
  <c r="N849" i="2"/>
  <c r="L849" i="2"/>
  <c r="J849" i="2"/>
  <c r="I849" i="2"/>
  <c r="H849" i="2"/>
  <c r="F849" i="2"/>
  <c r="B849" i="2"/>
  <c r="P848" i="2"/>
  <c r="O848" i="2"/>
  <c r="U848" i="2" s="1"/>
  <c r="V848" i="2" s="1"/>
  <c r="N848" i="2"/>
  <c r="L848" i="2"/>
  <c r="I848" i="2"/>
  <c r="J848" i="2" s="1"/>
  <c r="H848" i="2"/>
  <c r="F848" i="2"/>
  <c r="B848" i="2"/>
  <c r="P847" i="2"/>
  <c r="N847" i="2"/>
  <c r="L847" i="2"/>
  <c r="O847" i="2" s="1"/>
  <c r="U847" i="2" s="1"/>
  <c r="V847" i="2" s="1"/>
  <c r="J847" i="2"/>
  <c r="I847" i="2"/>
  <c r="H847" i="2"/>
  <c r="F847" i="2"/>
  <c r="B847" i="2"/>
  <c r="P846" i="2"/>
  <c r="L846" i="2"/>
  <c r="J846" i="2"/>
  <c r="I846" i="2"/>
  <c r="H846" i="2"/>
  <c r="F846" i="2"/>
  <c r="B846" i="2"/>
  <c r="P845" i="2"/>
  <c r="O845" i="2"/>
  <c r="U845" i="2" s="1"/>
  <c r="V845" i="2" s="1"/>
  <c r="N845" i="2"/>
  <c r="L845" i="2"/>
  <c r="J845" i="2"/>
  <c r="I845" i="2"/>
  <c r="H845" i="2"/>
  <c r="F845" i="2"/>
  <c r="B845" i="2"/>
  <c r="P844" i="2"/>
  <c r="O844" i="2"/>
  <c r="U844" i="2" s="1"/>
  <c r="V844" i="2" s="1"/>
  <c r="N844" i="2"/>
  <c r="L844" i="2"/>
  <c r="I844" i="2"/>
  <c r="J844" i="2" s="1"/>
  <c r="H844" i="2"/>
  <c r="F844" i="2"/>
  <c r="B844" i="2"/>
  <c r="P843" i="2"/>
  <c r="N843" i="2"/>
  <c r="L843" i="2"/>
  <c r="O843" i="2" s="1"/>
  <c r="U843" i="2" s="1"/>
  <c r="V843" i="2" s="1"/>
  <c r="J843" i="2"/>
  <c r="I843" i="2"/>
  <c r="H843" i="2"/>
  <c r="F843" i="2"/>
  <c r="B843" i="2"/>
  <c r="P842" i="2"/>
  <c r="L842" i="2"/>
  <c r="J842" i="2"/>
  <c r="I842" i="2"/>
  <c r="H842" i="2"/>
  <c r="F842" i="2"/>
  <c r="B842" i="2"/>
  <c r="P841" i="2"/>
  <c r="O841" i="2"/>
  <c r="U841" i="2" s="1"/>
  <c r="V841" i="2" s="1"/>
  <c r="N841" i="2"/>
  <c r="L841" i="2"/>
  <c r="J841" i="2"/>
  <c r="I841" i="2"/>
  <c r="H841" i="2"/>
  <c r="F841" i="2"/>
  <c r="B841" i="2"/>
  <c r="P840" i="2"/>
  <c r="O840" i="2"/>
  <c r="U840" i="2" s="1"/>
  <c r="V840" i="2" s="1"/>
  <c r="N840" i="2"/>
  <c r="L840" i="2"/>
  <c r="I840" i="2"/>
  <c r="J840" i="2" s="1"/>
  <c r="H840" i="2"/>
  <c r="F840" i="2"/>
  <c r="B840" i="2"/>
  <c r="P839" i="2"/>
  <c r="N839" i="2"/>
  <c r="L839" i="2"/>
  <c r="O839" i="2" s="1"/>
  <c r="U839" i="2" s="1"/>
  <c r="V839" i="2" s="1"/>
  <c r="J839" i="2"/>
  <c r="I839" i="2"/>
  <c r="H839" i="2"/>
  <c r="F839" i="2"/>
  <c r="B839" i="2"/>
  <c r="P838" i="2"/>
  <c r="L838" i="2"/>
  <c r="J838" i="2"/>
  <c r="I838" i="2"/>
  <c r="H838" i="2"/>
  <c r="F838" i="2"/>
  <c r="B838" i="2"/>
  <c r="P837" i="2"/>
  <c r="O837" i="2"/>
  <c r="U837" i="2" s="1"/>
  <c r="V837" i="2" s="1"/>
  <c r="N837" i="2"/>
  <c r="L837" i="2"/>
  <c r="J837" i="2"/>
  <c r="I837" i="2"/>
  <c r="H837" i="2"/>
  <c r="F837" i="2"/>
  <c r="B837" i="2"/>
  <c r="P836" i="2"/>
  <c r="O836" i="2"/>
  <c r="U836" i="2" s="1"/>
  <c r="V836" i="2" s="1"/>
  <c r="N836" i="2"/>
  <c r="L836" i="2"/>
  <c r="I836" i="2"/>
  <c r="J836" i="2" s="1"/>
  <c r="H836" i="2"/>
  <c r="F836" i="2"/>
  <c r="B836" i="2"/>
  <c r="P835" i="2"/>
  <c r="N835" i="2"/>
  <c r="L835" i="2"/>
  <c r="O835" i="2" s="1"/>
  <c r="U835" i="2" s="1"/>
  <c r="V835" i="2" s="1"/>
  <c r="J835" i="2"/>
  <c r="I835" i="2"/>
  <c r="H835" i="2"/>
  <c r="F835" i="2"/>
  <c r="B835" i="2"/>
  <c r="P834" i="2"/>
  <c r="L834" i="2"/>
  <c r="J834" i="2"/>
  <c r="I834" i="2"/>
  <c r="H834" i="2"/>
  <c r="F834" i="2"/>
  <c r="B834" i="2"/>
  <c r="P833" i="2"/>
  <c r="O833" i="2"/>
  <c r="U833" i="2" s="1"/>
  <c r="V833" i="2" s="1"/>
  <c r="N833" i="2"/>
  <c r="L833" i="2"/>
  <c r="J833" i="2"/>
  <c r="I833" i="2"/>
  <c r="H833" i="2"/>
  <c r="F833" i="2"/>
  <c r="B833" i="2"/>
  <c r="P832" i="2"/>
  <c r="O832" i="2"/>
  <c r="U832" i="2" s="1"/>
  <c r="V832" i="2" s="1"/>
  <c r="N832" i="2"/>
  <c r="L832" i="2"/>
  <c r="I832" i="2"/>
  <c r="J832" i="2" s="1"/>
  <c r="H832" i="2"/>
  <c r="F832" i="2"/>
  <c r="B832" i="2"/>
  <c r="P831" i="2"/>
  <c r="N831" i="2"/>
  <c r="L831" i="2"/>
  <c r="O831" i="2" s="1"/>
  <c r="U831" i="2" s="1"/>
  <c r="V831" i="2" s="1"/>
  <c r="J831" i="2"/>
  <c r="I831" i="2"/>
  <c r="H831" i="2"/>
  <c r="F831" i="2"/>
  <c r="B831" i="2"/>
  <c r="P830" i="2"/>
  <c r="L830" i="2"/>
  <c r="J830" i="2"/>
  <c r="I830" i="2"/>
  <c r="H830" i="2"/>
  <c r="F830" i="2"/>
  <c r="B830" i="2"/>
  <c r="P829" i="2"/>
  <c r="O829" i="2"/>
  <c r="U829" i="2" s="1"/>
  <c r="V829" i="2" s="1"/>
  <c r="N829" i="2"/>
  <c r="L829" i="2"/>
  <c r="J829" i="2"/>
  <c r="I829" i="2"/>
  <c r="H829" i="2"/>
  <c r="F829" i="2"/>
  <c r="B829" i="2"/>
  <c r="P828" i="2"/>
  <c r="O828" i="2"/>
  <c r="U828" i="2" s="1"/>
  <c r="V828" i="2" s="1"/>
  <c r="N828" i="2"/>
  <c r="L828" i="2"/>
  <c r="I828" i="2"/>
  <c r="J828" i="2" s="1"/>
  <c r="H828" i="2"/>
  <c r="F828" i="2"/>
  <c r="B828" i="2"/>
  <c r="P827" i="2"/>
  <c r="N827" i="2"/>
  <c r="L827" i="2"/>
  <c r="O827" i="2" s="1"/>
  <c r="U827" i="2" s="1"/>
  <c r="V827" i="2" s="1"/>
  <c r="J827" i="2"/>
  <c r="I827" i="2"/>
  <c r="H827" i="2"/>
  <c r="F827" i="2"/>
  <c r="B827" i="2"/>
  <c r="P826" i="2"/>
  <c r="L826" i="2"/>
  <c r="J826" i="2"/>
  <c r="I826" i="2"/>
  <c r="H826" i="2"/>
  <c r="F826" i="2"/>
  <c r="B826" i="2"/>
  <c r="P825" i="2"/>
  <c r="O825" i="2"/>
  <c r="U825" i="2" s="1"/>
  <c r="V825" i="2" s="1"/>
  <c r="N825" i="2"/>
  <c r="L825" i="2"/>
  <c r="J825" i="2"/>
  <c r="I825" i="2"/>
  <c r="H825" i="2"/>
  <c r="F825" i="2"/>
  <c r="B825" i="2"/>
  <c r="P824" i="2"/>
  <c r="O824" i="2"/>
  <c r="U824" i="2" s="1"/>
  <c r="V824" i="2" s="1"/>
  <c r="N824" i="2"/>
  <c r="L824" i="2"/>
  <c r="I824" i="2"/>
  <c r="J824" i="2" s="1"/>
  <c r="H824" i="2"/>
  <c r="F824" i="2"/>
  <c r="B824" i="2"/>
  <c r="P823" i="2"/>
  <c r="N823" i="2"/>
  <c r="L823" i="2"/>
  <c r="O823" i="2" s="1"/>
  <c r="U823" i="2" s="1"/>
  <c r="V823" i="2" s="1"/>
  <c r="J823" i="2"/>
  <c r="I823" i="2"/>
  <c r="H823" i="2"/>
  <c r="F823" i="2"/>
  <c r="B823" i="2"/>
  <c r="P822" i="2"/>
  <c r="L822" i="2"/>
  <c r="J822" i="2"/>
  <c r="I822" i="2"/>
  <c r="H822" i="2"/>
  <c r="F822" i="2"/>
  <c r="B822" i="2"/>
  <c r="P821" i="2"/>
  <c r="O821" i="2"/>
  <c r="U821" i="2" s="1"/>
  <c r="V821" i="2" s="1"/>
  <c r="N821" i="2"/>
  <c r="L821" i="2"/>
  <c r="J821" i="2"/>
  <c r="I821" i="2"/>
  <c r="H821" i="2"/>
  <c r="F821" i="2"/>
  <c r="B821" i="2"/>
  <c r="P820" i="2"/>
  <c r="O820" i="2"/>
  <c r="U820" i="2" s="1"/>
  <c r="V820" i="2" s="1"/>
  <c r="N820" i="2"/>
  <c r="L820" i="2"/>
  <c r="I820" i="2"/>
  <c r="J820" i="2" s="1"/>
  <c r="H820" i="2"/>
  <c r="F820" i="2"/>
  <c r="B820" i="2"/>
  <c r="P819" i="2"/>
  <c r="N819" i="2"/>
  <c r="L819" i="2"/>
  <c r="O819" i="2" s="1"/>
  <c r="U819" i="2" s="1"/>
  <c r="V819" i="2" s="1"/>
  <c r="J819" i="2"/>
  <c r="I819" i="2"/>
  <c r="H819" i="2"/>
  <c r="F819" i="2"/>
  <c r="B819" i="2"/>
  <c r="P818" i="2"/>
  <c r="L818" i="2"/>
  <c r="J818" i="2"/>
  <c r="I818" i="2"/>
  <c r="H818" i="2"/>
  <c r="F818" i="2"/>
  <c r="B818" i="2"/>
  <c r="P817" i="2"/>
  <c r="O817" i="2"/>
  <c r="U817" i="2" s="1"/>
  <c r="V817" i="2" s="1"/>
  <c r="N817" i="2"/>
  <c r="L817" i="2"/>
  <c r="J817" i="2"/>
  <c r="I817" i="2"/>
  <c r="H817" i="2"/>
  <c r="F817" i="2"/>
  <c r="B817" i="2"/>
  <c r="P816" i="2"/>
  <c r="O816" i="2"/>
  <c r="U816" i="2" s="1"/>
  <c r="V816" i="2" s="1"/>
  <c r="N816" i="2"/>
  <c r="L816" i="2"/>
  <c r="I816" i="2"/>
  <c r="J816" i="2" s="1"/>
  <c r="H816" i="2"/>
  <c r="F816" i="2"/>
  <c r="B816" i="2"/>
  <c r="P815" i="2"/>
  <c r="N815" i="2"/>
  <c r="L815" i="2"/>
  <c r="O815" i="2" s="1"/>
  <c r="U815" i="2" s="1"/>
  <c r="V815" i="2" s="1"/>
  <c r="J815" i="2"/>
  <c r="I815" i="2"/>
  <c r="H815" i="2"/>
  <c r="F815" i="2"/>
  <c r="B815" i="2"/>
  <c r="P814" i="2"/>
  <c r="L814" i="2"/>
  <c r="J814" i="2"/>
  <c r="I814" i="2"/>
  <c r="H814" i="2"/>
  <c r="F814" i="2"/>
  <c r="B814" i="2"/>
  <c r="P813" i="2"/>
  <c r="O813" i="2"/>
  <c r="U813" i="2" s="1"/>
  <c r="V813" i="2" s="1"/>
  <c r="N813" i="2"/>
  <c r="L813" i="2"/>
  <c r="J813" i="2"/>
  <c r="I813" i="2"/>
  <c r="H813" i="2"/>
  <c r="F813" i="2"/>
  <c r="B813" i="2"/>
  <c r="P812" i="2"/>
  <c r="O812" i="2"/>
  <c r="U812" i="2" s="1"/>
  <c r="V812" i="2" s="1"/>
  <c r="N812" i="2"/>
  <c r="L812" i="2"/>
  <c r="I812" i="2"/>
  <c r="J812" i="2" s="1"/>
  <c r="H812" i="2"/>
  <c r="F812" i="2"/>
  <c r="B812" i="2"/>
  <c r="P811" i="2"/>
  <c r="N811" i="2"/>
  <c r="L811" i="2"/>
  <c r="O811" i="2" s="1"/>
  <c r="U811" i="2" s="1"/>
  <c r="V811" i="2" s="1"/>
  <c r="J811" i="2"/>
  <c r="I811" i="2"/>
  <c r="H811" i="2"/>
  <c r="F811" i="2"/>
  <c r="B811" i="2"/>
  <c r="P810" i="2"/>
  <c r="L810" i="2"/>
  <c r="J810" i="2"/>
  <c r="I810" i="2"/>
  <c r="H810" i="2"/>
  <c r="F810" i="2"/>
  <c r="B810" i="2"/>
  <c r="P809" i="2"/>
  <c r="O809" i="2"/>
  <c r="U809" i="2" s="1"/>
  <c r="V809" i="2" s="1"/>
  <c r="N809" i="2"/>
  <c r="L809" i="2"/>
  <c r="J809" i="2"/>
  <c r="I809" i="2"/>
  <c r="H809" i="2"/>
  <c r="F809" i="2"/>
  <c r="B809" i="2"/>
  <c r="P808" i="2"/>
  <c r="O808" i="2"/>
  <c r="U808" i="2" s="1"/>
  <c r="V808" i="2" s="1"/>
  <c r="N808" i="2"/>
  <c r="L808" i="2"/>
  <c r="I808" i="2"/>
  <c r="J808" i="2" s="1"/>
  <c r="H808" i="2"/>
  <c r="F808" i="2"/>
  <c r="B808" i="2"/>
  <c r="P807" i="2"/>
  <c r="N807" i="2"/>
  <c r="L807" i="2"/>
  <c r="O807" i="2" s="1"/>
  <c r="U807" i="2" s="1"/>
  <c r="V807" i="2" s="1"/>
  <c r="J807" i="2"/>
  <c r="I807" i="2"/>
  <c r="H807" i="2"/>
  <c r="F807" i="2"/>
  <c r="B807" i="2"/>
  <c r="P806" i="2"/>
  <c r="L806" i="2"/>
  <c r="J806" i="2"/>
  <c r="I806" i="2"/>
  <c r="H806" i="2"/>
  <c r="F806" i="2"/>
  <c r="B806" i="2"/>
  <c r="P805" i="2"/>
  <c r="O805" i="2"/>
  <c r="U805" i="2" s="1"/>
  <c r="V805" i="2" s="1"/>
  <c r="N805" i="2"/>
  <c r="L805" i="2"/>
  <c r="J805" i="2"/>
  <c r="I805" i="2"/>
  <c r="H805" i="2"/>
  <c r="F805" i="2"/>
  <c r="B805" i="2"/>
  <c r="P804" i="2"/>
  <c r="O804" i="2"/>
  <c r="U804" i="2" s="1"/>
  <c r="V804" i="2" s="1"/>
  <c r="N804" i="2"/>
  <c r="L804" i="2"/>
  <c r="I804" i="2"/>
  <c r="J804" i="2" s="1"/>
  <c r="H804" i="2"/>
  <c r="F804" i="2"/>
  <c r="B804" i="2"/>
  <c r="P803" i="2"/>
  <c r="N803" i="2"/>
  <c r="L803" i="2"/>
  <c r="O803" i="2" s="1"/>
  <c r="U803" i="2" s="1"/>
  <c r="V803" i="2" s="1"/>
  <c r="J803" i="2"/>
  <c r="I803" i="2"/>
  <c r="H803" i="2"/>
  <c r="F803" i="2"/>
  <c r="B803" i="2"/>
  <c r="P802" i="2"/>
  <c r="L802" i="2"/>
  <c r="J802" i="2"/>
  <c r="I802" i="2"/>
  <c r="H802" i="2"/>
  <c r="F802" i="2"/>
  <c r="B802" i="2"/>
  <c r="P801" i="2"/>
  <c r="O801" i="2"/>
  <c r="U801" i="2" s="1"/>
  <c r="V801" i="2" s="1"/>
  <c r="N801" i="2"/>
  <c r="L801" i="2"/>
  <c r="J801" i="2"/>
  <c r="I801" i="2"/>
  <c r="H801" i="2"/>
  <c r="F801" i="2"/>
  <c r="B801" i="2"/>
  <c r="P800" i="2"/>
  <c r="O800" i="2"/>
  <c r="U800" i="2" s="1"/>
  <c r="V800" i="2" s="1"/>
  <c r="N800" i="2"/>
  <c r="L800" i="2"/>
  <c r="I800" i="2"/>
  <c r="J800" i="2" s="1"/>
  <c r="H800" i="2"/>
  <c r="F800" i="2"/>
  <c r="B800" i="2"/>
  <c r="P799" i="2"/>
  <c r="N799" i="2"/>
  <c r="L799" i="2"/>
  <c r="O799" i="2" s="1"/>
  <c r="U799" i="2" s="1"/>
  <c r="V799" i="2" s="1"/>
  <c r="J799" i="2"/>
  <c r="I799" i="2"/>
  <c r="H799" i="2"/>
  <c r="F799" i="2"/>
  <c r="B799" i="2"/>
  <c r="P798" i="2"/>
  <c r="L798" i="2"/>
  <c r="J798" i="2"/>
  <c r="I798" i="2"/>
  <c r="H798" i="2"/>
  <c r="F798" i="2"/>
  <c r="B798" i="2"/>
  <c r="P797" i="2"/>
  <c r="O797" i="2"/>
  <c r="U797" i="2" s="1"/>
  <c r="V797" i="2" s="1"/>
  <c r="N797" i="2"/>
  <c r="L797" i="2"/>
  <c r="J797" i="2"/>
  <c r="I797" i="2"/>
  <c r="H797" i="2"/>
  <c r="F797" i="2"/>
  <c r="B797" i="2"/>
  <c r="P796" i="2"/>
  <c r="O796" i="2"/>
  <c r="U796" i="2" s="1"/>
  <c r="V796" i="2" s="1"/>
  <c r="N796" i="2"/>
  <c r="L796" i="2"/>
  <c r="I796" i="2"/>
  <c r="J796" i="2" s="1"/>
  <c r="H796" i="2"/>
  <c r="F796" i="2"/>
  <c r="B796" i="2"/>
  <c r="P795" i="2"/>
  <c r="N795" i="2"/>
  <c r="L795" i="2"/>
  <c r="O795" i="2" s="1"/>
  <c r="U795" i="2" s="1"/>
  <c r="V795" i="2" s="1"/>
  <c r="J795" i="2"/>
  <c r="I795" i="2"/>
  <c r="H795" i="2"/>
  <c r="F795" i="2"/>
  <c r="B795" i="2"/>
  <c r="P794" i="2"/>
  <c r="L794" i="2"/>
  <c r="J794" i="2"/>
  <c r="I794" i="2"/>
  <c r="H794" i="2"/>
  <c r="F794" i="2"/>
  <c r="B794" i="2"/>
  <c r="P793" i="2"/>
  <c r="O793" i="2"/>
  <c r="U793" i="2" s="1"/>
  <c r="V793" i="2" s="1"/>
  <c r="N793" i="2"/>
  <c r="L793" i="2"/>
  <c r="J793" i="2"/>
  <c r="I793" i="2"/>
  <c r="H793" i="2"/>
  <c r="F793" i="2"/>
  <c r="B793" i="2"/>
  <c r="P792" i="2"/>
  <c r="O792" i="2"/>
  <c r="U792" i="2" s="1"/>
  <c r="V792" i="2" s="1"/>
  <c r="N792" i="2"/>
  <c r="L792" i="2"/>
  <c r="I792" i="2"/>
  <c r="J792" i="2" s="1"/>
  <c r="H792" i="2"/>
  <c r="F792" i="2"/>
  <c r="B792" i="2"/>
  <c r="P791" i="2"/>
  <c r="N791" i="2"/>
  <c r="L791" i="2"/>
  <c r="O791" i="2" s="1"/>
  <c r="U791" i="2" s="1"/>
  <c r="V791" i="2" s="1"/>
  <c r="J791" i="2"/>
  <c r="I791" i="2"/>
  <c r="H791" i="2"/>
  <c r="F791" i="2"/>
  <c r="B791" i="2"/>
  <c r="P790" i="2"/>
  <c r="L790" i="2"/>
  <c r="J790" i="2"/>
  <c r="I790" i="2"/>
  <c r="H790" i="2"/>
  <c r="F790" i="2"/>
  <c r="B790" i="2"/>
  <c r="P789" i="2"/>
  <c r="O789" i="2"/>
  <c r="U789" i="2" s="1"/>
  <c r="V789" i="2" s="1"/>
  <c r="N789" i="2"/>
  <c r="L789" i="2"/>
  <c r="J789" i="2"/>
  <c r="I789" i="2"/>
  <c r="H789" i="2"/>
  <c r="F789" i="2"/>
  <c r="B789" i="2"/>
  <c r="P788" i="2"/>
  <c r="O788" i="2"/>
  <c r="U788" i="2" s="1"/>
  <c r="V788" i="2" s="1"/>
  <c r="N788" i="2"/>
  <c r="L788" i="2"/>
  <c r="I788" i="2"/>
  <c r="J788" i="2" s="1"/>
  <c r="H788" i="2"/>
  <c r="F788" i="2"/>
  <c r="B788" i="2"/>
  <c r="P787" i="2"/>
  <c r="N787" i="2"/>
  <c r="L787" i="2"/>
  <c r="O787" i="2" s="1"/>
  <c r="U787" i="2" s="1"/>
  <c r="V787" i="2" s="1"/>
  <c r="J787" i="2"/>
  <c r="I787" i="2"/>
  <c r="H787" i="2"/>
  <c r="F787" i="2"/>
  <c r="B787" i="2"/>
  <c r="P786" i="2"/>
  <c r="L786" i="2"/>
  <c r="J786" i="2"/>
  <c r="I786" i="2"/>
  <c r="H786" i="2"/>
  <c r="F786" i="2"/>
  <c r="B786" i="2"/>
  <c r="P785" i="2"/>
  <c r="O785" i="2"/>
  <c r="U785" i="2" s="1"/>
  <c r="V785" i="2" s="1"/>
  <c r="N785" i="2"/>
  <c r="L785" i="2"/>
  <c r="J785" i="2"/>
  <c r="I785" i="2"/>
  <c r="H785" i="2"/>
  <c r="F785" i="2"/>
  <c r="B785" i="2"/>
  <c r="P784" i="2"/>
  <c r="O784" i="2"/>
  <c r="U784" i="2" s="1"/>
  <c r="V784" i="2" s="1"/>
  <c r="N784" i="2"/>
  <c r="L784" i="2"/>
  <c r="I784" i="2"/>
  <c r="J784" i="2" s="1"/>
  <c r="H784" i="2"/>
  <c r="F784" i="2"/>
  <c r="B784" i="2"/>
  <c r="P783" i="2"/>
  <c r="N783" i="2"/>
  <c r="L783" i="2"/>
  <c r="O783" i="2" s="1"/>
  <c r="U783" i="2" s="1"/>
  <c r="V783" i="2" s="1"/>
  <c r="J783" i="2"/>
  <c r="I783" i="2"/>
  <c r="H783" i="2"/>
  <c r="F783" i="2"/>
  <c r="B783" i="2"/>
  <c r="P782" i="2"/>
  <c r="L782" i="2"/>
  <c r="J782" i="2"/>
  <c r="I782" i="2"/>
  <c r="H782" i="2"/>
  <c r="F782" i="2"/>
  <c r="B782" i="2"/>
  <c r="P781" i="2"/>
  <c r="O781" i="2"/>
  <c r="U781" i="2" s="1"/>
  <c r="V781" i="2" s="1"/>
  <c r="N781" i="2"/>
  <c r="L781" i="2"/>
  <c r="J781" i="2"/>
  <c r="I781" i="2"/>
  <c r="H781" i="2"/>
  <c r="F781" i="2"/>
  <c r="B781" i="2"/>
  <c r="P780" i="2"/>
  <c r="O780" i="2"/>
  <c r="U780" i="2" s="1"/>
  <c r="V780" i="2" s="1"/>
  <c r="N780" i="2"/>
  <c r="L780" i="2"/>
  <c r="I780" i="2"/>
  <c r="J780" i="2" s="1"/>
  <c r="H780" i="2"/>
  <c r="F780" i="2"/>
  <c r="B780" i="2"/>
  <c r="P779" i="2"/>
  <c r="N779" i="2"/>
  <c r="L779" i="2"/>
  <c r="O779" i="2" s="1"/>
  <c r="U779" i="2" s="1"/>
  <c r="V779" i="2" s="1"/>
  <c r="J779" i="2"/>
  <c r="I779" i="2"/>
  <c r="H779" i="2"/>
  <c r="F779" i="2"/>
  <c r="B779" i="2"/>
  <c r="P778" i="2"/>
  <c r="L778" i="2"/>
  <c r="J778" i="2"/>
  <c r="I778" i="2"/>
  <c r="H778" i="2"/>
  <c r="F778" i="2"/>
  <c r="B778" i="2"/>
  <c r="P777" i="2"/>
  <c r="O777" i="2"/>
  <c r="U777" i="2" s="1"/>
  <c r="V777" i="2" s="1"/>
  <c r="N777" i="2"/>
  <c r="L777" i="2"/>
  <c r="J777" i="2"/>
  <c r="I777" i="2"/>
  <c r="H777" i="2"/>
  <c r="F777" i="2"/>
  <c r="B777" i="2"/>
  <c r="P776" i="2"/>
  <c r="O776" i="2"/>
  <c r="U776" i="2" s="1"/>
  <c r="V776" i="2" s="1"/>
  <c r="N776" i="2"/>
  <c r="L776" i="2"/>
  <c r="I776" i="2"/>
  <c r="J776" i="2" s="1"/>
  <c r="H776" i="2"/>
  <c r="F776" i="2"/>
  <c r="B776" i="2"/>
  <c r="P775" i="2"/>
  <c r="N775" i="2"/>
  <c r="L775" i="2"/>
  <c r="O775" i="2" s="1"/>
  <c r="U775" i="2" s="1"/>
  <c r="V775" i="2" s="1"/>
  <c r="J775" i="2"/>
  <c r="I775" i="2"/>
  <c r="H775" i="2"/>
  <c r="F775" i="2"/>
  <c r="B775" i="2"/>
  <c r="P774" i="2"/>
  <c r="L774" i="2"/>
  <c r="J774" i="2"/>
  <c r="I774" i="2"/>
  <c r="H774" i="2"/>
  <c r="F774" i="2"/>
  <c r="B774" i="2"/>
  <c r="P773" i="2"/>
  <c r="O773" i="2"/>
  <c r="U773" i="2" s="1"/>
  <c r="V773" i="2" s="1"/>
  <c r="N773" i="2"/>
  <c r="L773" i="2"/>
  <c r="J773" i="2"/>
  <c r="I773" i="2"/>
  <c r="H773" i="2"/>
  <c r="F773" i="2"/>
  <c r="B773" i="2"/>
  <c r="P772" i="2"/>
  <c r="O772" i="2"/>
  <c r="U772" i="2" s="1"/>
  <c r="V772" i="2" s="1"/>
  <c r="N772" i="2"/>
  <c r="L772" i="2"/>
  <c r="I772" i="2"/>
  <c r="J772" i="2" s="1"/>
  <c r="H772" i="2"/>
  <c r="F772" i="2"/>
  <c r="B772" i="2"/>
  <c r="P771" i="2"/>
  <c r="N771" i="2"/>
  <c r="L771" i="2"/>
  <c r="O771" i="2" s="1"/>
  <c r="U771" i="2" s="1"/>
  <c r="V771" i="2" s="1"/>
  <c r="J771" i="2"/>
  <c r="I771" i="2"/>
  <c r="H771" i="2"/>
  <c r="F771" i="2"/>
  <c r="B771" i="2"/>
  <c r="P770" i="2"/>
  <c r="L770" i="2"/>
  <c r="J770" i="2"/>
  <c r="I770" i="2"/>
  <c r="H770" i="2"/>
  <c r="F770" i="2"/>
  <c r="B770" i="2"/>
  <c r="P769" i="2"/>
  <c r="O769" i="2"/>
  <c r="U769" i="2" s="1"/>
  <c r="V769" i="2" s="1"/>
  <c r="N769" i="2"/>
  <c r="L769" i="2"/>
  <c r="J769" i="2"/>
  <c r="I769" i="2"/>
  <c r="H769" i="2"/>
  <c r="F769" i="2"/>
  <c r="B769" i="2"/>
  <c r="P768" i="2"/>
  <c r="O768" i="2"/>
  <c r="U768" i="2" s="1"/>
  <c r="V768" i="2" s="1"/>
  <c r="N768" i="2"/>
  <c r="L768" i="2"/>
  <c r="I768" i="2"/>
  <c r="J768" i="2" s="1"/>
  <c r="H768" i="2"/>
  <c r="F768" i="2"/>
  <c r="B768" i="2"/>
  <c r="P767" i="2"/>
  <c r="N767" i="2"/>
  <c r="L767" i="2"/>
  <c r="O767" i="2" s="1"/>
  <c r="U767" i="2" s="1"/>
  <c r="V767" i="2" s="1"/>
  <c r="J767" i="2"/>
  <c r="I767" i="2"/>
  <c r="H767" i="2"/>
  <c r="F767" i="2"/>
  <c r="B767" i="2"/>
  <c r="P766" i="2"/>
  <c r="L766" i="2"/>
  <c r="J766" i="2"/>
  <c r="I766" i="2"/>
  <c r="H766" i="2"/>
  <c r="F766" i="2"/>
  <c r="B766" i="2"/>
  <c r="P765" i="2"/>
  <c r="O765" i="2"/>
  <c r="U765" i="2" s="1"/>
  <c r="V765" i="2" s="1"/>
  <c r="N765" i="2"/>
  <c r="L765" i="2"/>
  <c r="J765" i="2"/>
  <c r="I765" i="2"/>
  <c r="H765" i="2"/>
  <c r="F765" i="2"/>
  <c r="B765" i="2"/>
  <c r="P764" i="2"/>
  <c r="O764" i="2"/>
  <c r="U764" i="2" s="1"/>
  <c r="V764" i="2" s="1"/>
  <c r="N764" i="2"/>
  <c r="L764" i="2"/>
  <c r="I764" i="2"/>
  <c r="J764" i="2" s="1"/>
  <c r="H764" i="2"/>
  <c r="F764" i="2"/>
  <c r="B764" i="2"/>
  <c r="P763" i="2"/>
  <c r="N763" i="2"/>
  <c r="L763" i="2"/>
  <c r="O763" i="2" s="1"/>
  <c r="U763" i="2" s="1"/>
  <c r="V763" i="2" s="1"/>
  <c r="J763" i="2"/>
  <c r="I763" i="2"/>
  <c r="H763" i="2"/>
  <c r="F763" i="2"/>
  <c r="B763" i="2"/>
  <c r="P762" i="2"/>
  <c r="L762" i="2"/>
  <c r="J762" i="2"/>
  <c r="I762" i="2"/>
  <c r="H762" i="2"/>
  <c r="F762" i="2"/>
  <c r="B762" i="2"/>
  <c r="P761" i="2"/>
  <c r="O761" i="2"/>
  <c r="U761" i="2" s="1"/>
  <c r="V761" i="2" s="1"/>
  <c r="N761" i="2"/>
  <c r="L761" i="2"/>
  <c r="J761" i="2"/>
  <c r="I761" i="2"/>
  <c r="H761" i="2"/>
  <c r="F761" i="2"/>
  <c r="B761" i="2"/>
  <c r="P760" i="2"/>
  <c r="O760" i="2"/>
  <c r="U760" i="2" s="1"/>
  <c r="V760" i="2" s="1"/>
  <c r="N760" i="2"/>
  <c r="L760" i="2"/>
  <c r="I760" i="2"/>
  <c r="J760" i="2" s="1"/>
  <c r="H760" i="2"/>
  <c r="F760" i="2"/>
  <c r="B760" i="2"/>
  <c r="P759" i="2"/>
  <c r="N759" i="2"/>
  <c r="L759" i="2"/>
  <c r="O759" i="2" s="1"/>
  <c r="U759" i="2" s="1"/>
  <c r="V759" i="2" s="1"/>
  <c r="J759" i="2"/>
  <c r="I759" i="2"/>
  <c r="H759" i="2"/>
  <c r="F759" i="2"/>
  <c r="B759" i="2"/>
  <c r="P758" i="2"/>
  <c r="L758" i="2"/>
  <c r="J758" i="2"/>
  <c r="I758" i="2"/>
  <c r="H758" i="2"/>
  <c r="F758" i="2"/>
  <c r="B758" i="2"/>
  <c r="P757" i="2"/>
  <c r="O757" i="2"/>
  <c r="U757" i="2" s="1"/>
  <c r="V757" i="2" s="1"/>
  <c r="N757" i="2"/>
  <c r="L757" i="2"/>
  <c r="J757" i="2"/>
  <c r="I757" i="2"/>
  <c r="H757" i="2"/>
  <c r="F757" i="2"/>
  <c r="B757" i="2"/>
  <c r="P756" i="2"/>
  <c r="O756" i="2"/>
  <c r="U756" i="2" s="1"/>
  <c r="V756" i="2" s="1"/>
  <c r="N756" i="2"/>
  <c r="L756" i="2"/>
  <c r="I756" i="2"/>
  <c r="J756" i="2" s="1"/>
  <c r="H756" i="2"/>
  <c r="F756" i="2"/>
  <c r="B756" i="2"/>
  <c r="P755" i="2"/>
  <c r="N755" i="2"/>
  <c r="L755" i="2"/>
  <c r="O755" i="2" s="1"/>
  <c r="U755" i="2" s="1"/>
  <c r="V755" i="2" s="1"/>
  <c r="J755" i="2"/>
  <c r="I755" i="2"/>
  <c r="H755" i="2"/>
  <c r="F755" i="2"/>
  <c r="B755" i="2"/>
  <c r="P754" i="2"/>
  <c r="L754" i="2"/>
  <c r="J754" i="2"/>
  <c r="I754" i="2"/>
  <c r="H754" i="2"/>
  <c r="F754" i="2"/>
  <c r="B754" i="2"/>
  <c r="P753" i="2"/>
  <c r="O753" i="2"/>
  <c r="U753" i="2" s="1"/>
  <c r="V753" i="2" s="1"/>
  <c r="N753" i="2"/>
  <c r="L753" i="2"/>
  <c r="J753" i="2"/>
  <c r="I753" i="2"/>
  <c r="H753" i="2"/>
  <c r="F753" i="2"/>
  <c r="B753" i="2"/>
  <c r="P752" i="2"/>
  <c r="O752" i="2"/>
  <c r="U752" i="2" s="1"/>
  <c r="V752" i="2" s="1"/>
  <c r="N752" i="2"/>
  <c r="L752" i="2"/>
  <c r="I752" i="2"/>
  <c r="J752" i="2" s="1"/>
  <c r="H752" i="2"/>
  <c r="F752" i="2"/>
  <c r="B752" i="2"/>
  <c r="P751" i="2"/>
  <c r="N751" i="2"/>
  <c r="L751" i="2"/>
  <c r="O751" i="2" s="1"/>
  <c r="U751" i="2" s="1"/>
  <c r="V751" i="2" s="1"/>
  <c r="J751" i="2"/>
  <c r="I751" i="2"/>
  <c r="H751" i="2"/>
  <c r="F751" i="2"/>
  <c r="B751" i="2"/>
  <c r="P750" i="2"/>
  <c r="L750" i="2"/>
  <c r="J750" i="2"/>
  <c r="I750" i="2"/>
  <c r="H750" i="2"/>
  <c r="F750" i="2"/>
  <c r="B750" i="2"/>
  <c r="P749" i="2"/>
  <c r="O749" i="2"/>
  <c r="U749" i="2" s="1"/>
  <c r="V749" i="2" s="1"/>
  <c r="N749" i="2"/>
  <c r="L749" i="2"/>
  <c r="J749" i="2"/>
  <c r="I749" i="2"/>
  <c r="H749" i="2"/>
  <c r="F749" i="2"/>
  <c r="B749" i="2"/>
  <c r="P748" i="2"/>
  <c r="O748" i="2"/>
  <c r="U748" i="2" s="1"/>
  <c r="V748" i="2" s="1"/>
  <c r="N748" i="2"/>
  <c r="L748" i="2"/>
  <c r="I748" i="2"/>
  <c r="J748" i="2" s="1"/>
  <c r="H748" i="2"/>
  <c r="F748" i="2"/>
  <c r="B748" i="2"/>
  <c r="P747" i="2"/>
  <c r="N747" i="2"/>
  <c r="L747" i="2"/>
  <c r="O747" i="2" s="1"/>
  <c r="U747" i="2" s="1"/>
  <c r="V747" i="2" s="1"/>
  <c r="J747" i="2"/>
  <c r="I747" i="2"/>
  <c r="H747" i="2"/>
  <c r="F747" i="2"/>
  <c r="B747" i="2"/>
  <c r="P746" i="2"/>
  <c r="L746" i="2"/>
  <c r="J746" i="2"/>
  <c r="I746" i="2"/>
  <c r="H746" i="2"/>
  <c r="F746" i="2"/>
  <c r="B746" i="2"/>
  <c r="P745" i="2"/>
  <c r="O745" i="2"/>
  <c r="U745" i="2" s="1"/>
  <c r="V745" i="2" s="1"/>
  <c r="N745" i="2"/>
  <c r="L745" i="2"/>
  <c r="J745" i="2"/>
  <c r="I745" i="2"/>
  <c r="H745" i="2"/>
  <c r="F745" i="2"/>
  <c r="B745" i="2"/>
  <c r="P744" i="2"/>
  <c r="O744" i="2"/>
  <c r="U744" i="2" s="1"/>
  <c r="V744" i="2" s="1"/>
  <c r="N744" i="2"/>
  <c r="L744" i="2"/>
  <c r="I744" i="2"/>
  <c r="J744" i="2" s="1"/>
  <c r="H744" i="2"/>
  <c r="F744" i="2"/>
  <c r="B744" i="2"/>
  <c r="P743" i="2"/>
  <c r="N743" i="2"/>
  <c r="L743" i="2"/>
  <c r="O743" i="2" s="1"/>
  <c r="U743" i="2" s="1"/>
  <c r="V743" i="2" s="1"/>
  <c r="J743" i="2"/>
  <c r="I743" i="2"/>
  <c r="H743" i="2"/>
  <c r="F743" i="2"/>
  <c r="B743" i="2"/>
  <c r="P742" i="2"/>
  <c r="L742" i="2"/>
  <c r="J742" i="2"/>
  <c r="I742" i="2"/>
  <c r="H742" i="2"/>
  <c r="F742" i="2"/>
  <c r="B742" i="2"/>
  <c r="P741" i="2"/>
  <c r="O741" i="2"/>
  <c r="U741" i="2" s="1"/>
  <c r="V741" i="2" s="1"/>
  <c r="N741" i="2"/>
  <c r="L741" i="2"/>
  <c r="J741" i="2"/>
  <c r="I741" i="2"/>
  <c r="H741" i="2"/>
  <c r="F741" i="2"/>
  <c r="B741" i="2"/>
  <c r="P740" i="2"/>
  <c r="O740" i="2"/>
  <c r="U740" i="2" s="1"/>
  <c r="V740" i="2" s="1"/>
  <c r="N740" i="2"/>
  <c r="L740" i="2"/>
  <c r="I740" i="2"/>
  <c r="J740" i="2" s="1"/>
  <c r="H740" i="2"/>
  <c r="F740" i="2"/>
  <c r="B740" i="2"/>
  <c r="P739" i="2"/>
  <c r="N739" i="2"/>
  <c r="L739" i="2"/>
  <c r="O739" i="2" s="1"/>
  <c r="U739" i="2" s="1"/>
  <c r="V739" i="2" s="1"/>
  <c r="J739" i="2"/>
  <c r="I739" i="2"/>
  <c r="H739" i="2"/>
  <c r="F739" i="2"/>
  <c r="B739" i="2"/>
  <c r="P738" i="2"/>
  <c r="L738" i="2"/>
  <c r="J738" i="2"/>
  <c r="I738" i="2"/>
  <c r="H738" i="2"/>
  <c r="F738" i="2"/>
  <c r="B738" i="2"/>
  <c r="P737" i="2"/>
  <c r="O737" i="2"/>
  <c r="U737" i="2" s="1"/>
  <c r="V737" i="2" s="1"/>
  <c r="N737" i="2"/>
  <c r="L737" i="2"/>
  <c r="J737" i="2"/>
  <c r="I737" i="2"/>
  <c r="H737" i="2"/>
  <c r="F737" i="2"/>
  <c r="B737" i="2"/>
  <c r="P736" i="2"/>
  <c r="O736" i="2"/>
  <c r="U736" i="2" s="1"/>
  <c r="V736" i="2" s="1"/>
  <c r="N736" i="2"/>
  <c r="L736" i="2"/>
  <c r="I736" i="2"/>
  <c r="J736" i="2" s="1"/>
  <c r="H736" i="2"/>
  <c r="F736" i="2"/>
  <c r="B736" i="2"/>
  <c r="P735" i="2"/>
  <c r="N735" i="2"/>
  <c r="L735" i="2"/>
  <c r="O735" i="2" s="1"/>
  <c r="U735" i="2" s="1"/>
  <c r="V735" i="2" s="1"/>
  <c r="J735" i="2"/>
  <c r="I735" i="2"/>
  <c r="H735" i="2"/>
  <c r="F735" i="2"/>
  <c r="B735" i="2"/>
  <c r="P734" i="2"/>
  <c r="L734" i="2"/>
  <c r="J734" i="2"/>
  <c r="I734" i="2"/>
  <c r="H734" i="2"/>
  <c r="F734" i="2"/>
  <c r="B734" i="2"/>
  <c r="P733" i="2"/>
  <c r="O733" i="2"/>
  <c r="U733" i="2" s="1"/>
  <c r="V733" i="2" s="1"/>
  <c r="N733" i="2"/>
  <c r="L733" i="2"/>
  <c r="J733" i="2"/>
  <c r="I733" i="2"/>
  <c r="H733" i="2"/>
  <c r="F733" i="2"/>
  <c r="B733" i="2"/>
  <c r="P732" i="2"/>
  <c r="O732" i="2"/>
  <c r="U732" i="2" s="1"/>
  <c r="V732" i="2" s="1"/>
  <c r="N732" i="2"/>
  <c r="L732" i="2"/>
  <c r="I732" i="2"/>
  <c r="J732" i="2" s="1"/>
  <c r="H732" i="2"/>
  <c r="F732" i="2"/>
  <c r="B732" i="2"/>
  <c r="P731" i="2"/>
  <c r="N731" i="2"/>
  <c r="L731" i="2"/>
  <c r="O731" i="2" s="1"/>
  <c r="U731" i="2" s="1"/>
  <c r="V731" i="2" s="1"/>
  <c r="J731" i="2"/>
  <c r="I731" i="2"/>
  <c r="H731" i="2"/>
  <c r="F731" i="2"/>
  <c r="B731" i="2"/>
  <c r="P730" i="2"/>
  <c r="L730" i="2"/>
  <c r="J730" i="2"/>
  <c r="I730" i="2"/>
  <c r="H730" i="2"/>
  <c r="F730" i="2"/>
  <c r="B730" i="2"/>
  <c r="P729" i="2"/>
  <c r="O729" i="2"/>
  <c r="U729" i="2" s="1"/>
  <c r="V729" i="2" s="1"/>
  <c r="N729" i="2"/>
  <c r="L729" i="2"/>
  <c r="J729" i="2"/>
  <c r="I729" i="2"/>
  <c r="H729" i="2"/>
  <c r="F729" i="2"/>
  <c r="B729" i="2"/>
  <c r="P728" i="2"/>
  <c r="O728" i="2"/>
  <c r="U728" i="2" s="1"/>
  <c r="V728" i="2" s="1"/>
  <c r="N728" i="2"/>
  <c r="L728" i="2"/>
  <c r="I728" i="2"/>
  <c r="J728" i="2" s="1"/>
  <c r="H728" i="2"/>
  <c r="F728" i="2"/>
  <c r="B728" i="2"/>
  <c r="P727" i="2"/>
  <c r="N727" i="2"/>
  <c r="L727" i="2"/>
  <c r="O727" i="2" s="1"/>
  <c r="U727" i="2" s="1"/>
  <c r="V727" i="2" s="1"/>
  <c r="J727" i="2"/>
  <c r="I727" i="2"/>
  <c r="H727" i="2"/>
  <c r="F727" i="2"/>
  <c r="B727" i="2"/>
  <c r="P726" i="2"/>
  <c r="L726" i="2"/>
  <c r="J726" i="2"/>
  <c r="I726" i="2"/>
  <c r="H726" i="2"/>
  <c r="F726" i="2"/>
  <c r="B726" i="2"/>
  <c r="P725" i="2"/>
  <c r="O725" i="2"/>
  <c r="U725" i="2" s="1"/>
  <c r="V725" i="2" s="1"/>
  <c r="N725" i="2"/>
  <c r="L725" i="2"/>
  <c r="J725" i="2"/>
  <c r="I725" i="2"/>
  <c r="H725" i="2"/>
  <c r="F725" i="2"/>
  <c r="B725" i="2"/>
  <c r="P724" i="2"/>
  <c r="O724" i="2"/>
  <c r="U724" i="2" s="1"/>
  <c r="V724" i="2" s="1"/>
  <c r="N724" i="2"/>
  <c r="L724" i="2"/>
  <c r="I724" i="2"/>
  <c r="J724" i="2" s="1"/>
  <c r="H724" i="2"/>
  <c r="F724" i="2"/>
  <c r="B724" i="2"/>
  <c r="P723" i="2"/>
  <c r="N723" i="2"/>
  <c r="L723" i="2"/>
  <c r="O723" i="2" s="1"/>
  <c r="U723" i="2" s="1"/>
  <c r="V723" i="2" s="1"/>
  <c r="J723" i="2"/>
  <c r="I723" i="2"/>
  <c r="H723" i="2"/>
  <c r="F723" i="2"/>
  <c r="B723" i="2"/>
  <c r="P722" i="2"/>
  <c r="L722" i="2"/>
  <c r="J722" i="2"/>
  <c r="I722" i="2"/>
  <c r="H722" i="2"/>
  <c r="F722" i="2"/>
  <c r="B722" i="2"/>
  <c r="P721" i="2"/>
  <c r="O721" i="2"/>
  <c r="U721" i="2" s="1"/>
  <c r="V721" i="2" s="1"/>
  <c r="N721" i="2"/>
  <c r="L721" i="2"/>
  <c r="J721" i="2"/>
  <c r="I721" i="2"/>
  <c r="H721" i="2"/>
  <c r="F721" i="2"/>
  <c r="B721" i="2"/>
  <c r="P720" i="2"/>
  <c r="O720" i="2"/>
  <c r="U720" i="2" s="1"/>
  <c r="V720" i="2" s="1"/>
  <c r="N720" i="2"/>
  <c r="L720" i="2"/>
  <c r="I720" i="2"/>
  <c r="J720" i="2" s="1"/>
  <c r="H720" i="2"/>
  <c r="F720" i="2"/>
  <c r="B720" i="2"/>
  <c r="P719" i="2"/>
  <c r="N719" i="2"/>
  <c r="L719" i="2"/>
  <c r="O719" i="2" s="1"/>
  <c r="U719" i="2" s="1"/>
  <c r="V719" i="2" s="1"/>
  <c r="J719" i="2"/>
  <c r="I719" i="2"/>
  <c r="H719" i="2"/>
  <c r="F719" i="2"/>
  <c r="B719" i="2"/>
  <c r="P718" i="2"/>
  <c r="L718" i="2"/>
  <c r="J718" i="2"/>
  <c r="I718" i="2"/>
  <c r="H718" i="2"/>
  <c r="F718" i="2"/>
  <c r="B718" i="2"/>
  <c r="P717" i="2"/>
  <c r="O717" i="2"/>
  <c r="U717" i="2" s="1"/>
  <c r="V717" i="2" s="1"/>
  <c r="N717" i="2"/>
  <c r="L717" i="2"/>
  <c r="J717" i="2"/>
  <c r="I717" i="2"/>
  <c r="H717" i="2"/>
  <c r="F717" i="2"/>
  <c r="B717" i="2"/>
  <c r="P716" i="2"/>
  <c r="O716" i="2"/>
  <c r="U716" i="2" s="1"/>
  <c r="V716" i="2" s="1"/>
  <c r="N716" i="2"/>
  <c r="L716" i="2"/>
  <c r="I716" i="2"/>
  <c r="J716" i="2" s="1"/>
  <c r="H716" i="2"/>
  <c r="F716" i="2"/>
  <c r="B716" i="2"/>
  <c r="P715" i="2"/>
  <c r="N715" i="2"/>
  <c r="L715" i="2"/>
  <c r="O715" i="2" s="1"/>
  <c r="U715" i="2" s="1"/>
  <c r="V715" i="2" s="1"/>
  <c r="J715" i="2"/>
  <c r="I715" i="2"/>
  <c r="H715" i="2"/>
  <c r="F715" i="2"/>
  <c r="B715" i="2"/>
  <c r="P714" i="2"/>
  <c r="L714" i="2"/>
  <c r="J714" i="2"/>
  <c r="I714" i="2"/>
  <c r="H714" i="2"/>
  <c r="F714" i="2"/>
  <c r="B714" i="2"/>
  <c r="P713" i="2"/>
  <c r="O713" i="2"/>
  <c r="U713" i="2" s="1"/>
  <c r="V713" i="2" s="1"/>
  <c r="N713" i="2"/>
  <c r="L713" i="2"/>
  <c r="J713" i="2"/>
  <c r="I713" i="2"/>
  <c r="H713" i="2"/>
  <c r="F713" i="2"/>
  <c r="B713" i="2"/>
  <c r="P712" i="2"/>
  <c r="O712" i="2"/>
  <c r="U712" i="2" s="1"/>
  <c r="V712" i="2" s="1"/>
  <c r="N712" i="2"/>
  <c r="L712" i="2"/>
  <c r="I712" i="2"/>
  <c r="J712" i="2" s="1"/>
  <c r="H712" i="2"/>
  <c r="F712" i="2"/>
  <c r="B712" i="2"/>
  <c r="P711" i="2"/>
  <c r="N711" i="2"/>
  <c r="L711" i="2"/>
  <c r="O711" i="2" s="1"/>
  <c r="U711" i="2" s="1"/>
  <c r="V711" i="2" s="1"/>
  <c r="J711" i="2"/>
  <c r="I711" i="2"/>
  <c r="H711" i="2"/>
  <c r="F711" i="2"/>
  <c r="B711" i="2"/>
  <c r="P710" i="2"/>
  <c r="L710" i="2"/>
  <c r="J710" i="2"/>
  <c r="I710" i="2"/>
  <c r="H710" i="2"/>
  <c r="F710" i="2"/>
  <c r="B710" i="2"/>
  <c r="P709" i="2"/>
  <c r="O709" i="2"/>
  <c r="U709" i="2" s="1"/>
  <c r="V709" i="2" s="1"/>
  <c r="N709" i="2"/>
  <c r="L709" i="2"/>
  <c r="J709" i="2"/>
  <c r="I709" i="2"/>
  <c r="H709" i="2"/>
  <c r="F709" i="2"/>
  <c r="B709" i="2"/>
  <c r="P708" i="2"/>
  <c r="O708" i="2"/>
  <c r="U708" i="2" s="1"/>
  <c r="V708" i="2" s="1"/>
  <c r="N708" i="2"/>
  <c r="L708" i="2"/>
  <c r="I708" i="2"/>
  <c r="J708" i="2" s="1"/>
  <c r="H708" i="2"/>
  <c r="F708" i="2"/>
  <c r="B708" i="2"/>
  <c r="P707" i="2"/>
  <c r="N707" i="2"/>
  <c r="L707" i="2"/>
  <c r="O707" i="2" s="1"/>
  <c r="U707" i="2" s="1"/>
  <c r="V707" i="2" s="1"/>
  <c r="J707" i="2"/>
  <c r="I707" i="2"/>
  <c r="H707" i="2"/>
  <c r="F707" i="2"/>
  <c r="B707" i="2"/>
  <c r="P706" i="2"/>
  <c r="L706" i="2"/>
  <c r="J706" i="2"/>
  <c r="I706" i="2"/>
  <c r="H706" i="2"/>
  <c r="F706" i="2"/>
  <c r="B706" i="2"/>
  <c r="P705" i="2"/>
  <c r="O705" i="2"/>
  <c r="U705" i="2" s="1"/>
  <c r="V705" i="2" s="1"/>
  <c r="N705" i="2"/>
  <c r="L705" i="2"/>
  <c r="I705" i="2"/>
  <c r="J705" i="2" s="1"/>
  <c r="H705" i="2"/>
  <c r="F705" i="2"/>
  <c r="B705" i="2"/>
  <c r="P704" i="2"/>
  <c r="O704" i="2"/>
  <c r="U704" i="2" s="1"/>
  <c r="V704" i="2" s="1"/>
  <c r="N704" i="2"/>
  <c r="L704" i="2"/>
  <c r="I704" i="2"/>
  <c r="J704" i="2" s="1"/>
  <c r="H704" i="2"/>
  <c r="F704" i="2"/>
  <c r="B704" i="2"/>
  <c r="P703" i="2"/>
  <c r="N703" i="2"/>
  <c r="L703" i="2"/>
  <c r="O703" i="2" s="1"/>
  <c r="U703" i="2" s="1"/>
  <c r="V703" i="2" s="1"/>
  <c r="J703" i="2"/>
  <c r="I703" i="2"/>
  <c r="H703" i="2"/>
  <c r="F703" i="2"/>
  <c r="B703" i="2"/>
  <c r="P702" i="2"/>
  <c r="L702" i="2"/>
  <c r="J702" i="2"/>
  <c r="I702" i="2"/>
  <c r="H702" i="2"/>
  <c r="F702" i="2"/>
  <c r="B702" i="2"/>
  <c r="P701" i="2"/>
  <c r="O701" i="2"/>
  <c r="U701" i="2" s="1"/>
  <c r="V701" i="2" s="1"/>
  <c r="N701" i="2"/>
  <c r="L701" i="2"/>
  <c r="I701" i="2"/>
  <c r="J701" i="2" s="1"/>
  <c r="H701" i="2"/>
  <c r="F701" i="2"/>
  <c r="B701" i="2"/>
  <c r="P700" i="2"/>
  <c r="O700" i="2"/>
  <c r="U700" i="2" s="1"/>
  <c r="V700" i="2" s="1"/>
  <c r="N700" i="2"/>
  <c r="L700" i="2"/>
  <c r="I700" i="2"/>
  <c r="J700" i="2" s="1"/>
  <c r="H700" i="2"/>
  <c r="F700" i="2"/>
  <c r="B700" i="2"/>
  <c r="P699" i="2"/>
  <c r="N699" i="2"/>
  <c r="L699" i="2"/>
  <c r="O699" i="2" s="1"/>
  <c r="U699" i="2" s="1"/>
  <c r="V699" i="2" s="1"/>
  <c r="J699" i="2"/>
  <c r="I699" i="2"/>
  <c r="H699" i="2"/>
  <c r="F699" i="2"/>
  <c r="B699" i="2"/>
  <c r="P698" i="2"/>
  <c r="L698" i="2"/>
  <c r="J698" i="2"/>
  <c r="I698" i="2"/>
  <c r="H698" i="2"/>
  <c r="F698" i="2"/>
  <c r="B698" i="2"/>
  <c r="P697" i="2"/>
  <c r="O697" i="2"/>
  <c r="U697" i="2" s="1"/>
  <c r="V697" i="2" s="1"/>
  <c r="N697" i="2"/>
  <c r="L697" i="2"/>
  <c r="I697" i="2"/>
  <c r="J697" i="2" s="1"/>
  <c r="H697" i="2"/>
  <c r="F697" i="2"/>
  <c r="B697" i="2"/>
  <c r="P696" i="2"/>
  <c r="N696" i="2"/>
  <c r="L696" i="2"/>
  <c r="O696" i="2" s="1"/>
  <c r="U696" i="2" s="1"/>
  <c r="V696" i="2" s="1"/>
  <c r="I696" i="2"/>
  <c r="J696" i="2" s="1"/>
  <c r="H696" i="2"/>
  <c r="F696" i="2"/>
  <c r="B696" i="2"/>
  <c r="P695" i="2"/>
  <c r="L695" i="2"/>
  <c r="O695" i="2" s="1"/>
  <c r="U695" i="2" s="1"/>
  <c r="V695" i="2" s="1"/>
  <c r="J695" i="2"/>
  <c r="I695" i="2"/>
  <c r="H695" i="2"/>
  <c r="F695" i="2"/>
  <c r="B695" i="2"/>
  <c r="P694" i="2"/>
  <c r="O694" i="2"/>
  <c r="U694" i="2" s="1"/>
  <c r="V694" i="2" s="1"/>
  <c r="L694" i="2"/>
  <c r="N694" i="2" s="1"/>
  <c r="J694" i="2"/>
  <c r="I694" i="2"/>
  <c r="H694" i="2"/>
  <c r="F694" i="2"/>
  <c r="B694" i="2"/>
  <c r="P693" i="2"/>
  <c r="O693" i="2"/>
  <c r="U693" i="2" s="1"/>
  <c r="V693" i="2" s="1"/>
  <c r="N693" i="2"/>
  <c r="L693" i="2"/>
  <c r="J693" i="2"/>
  <c r="I693" i="2"/>
  <c r="H693" i="2"/>
  <c r="F693" i="2"/>
  <c r="B693" i="2"/>
  <c r="P692" i="2"/>
  <c r="L692" i="2"/>
  <c r="I692" i="2"/>
  <c r="J692" i="2" s="1"/>
  <c r="H692" i="2"/>
  <c r="F692" i="2"/>
  <c r="B692" i="2"/>
  <c r="P691" i="2"/>
  <c r="N691" i="2"/>
  <c r="L691" i="2"/>
  <c r="O691" i="2" s="1"/>
  <c r="U691" i="2" s="1"/>
  <c r="V691" i="2" s="1"/>
  <c r="J691" i="2"/>
  <c r="I691" i="2"/>
  <c r="H691" i="2"/>
  <c r="F691" i="2"/>
  <c r="B691" i="2"/>
  <c r="P690" i="2"/>
  <c r="L690" i="2"/>
  <c r="N690" i="2" s="1"/>
  <c r="I690" i="2"/>
  <c r="J690" i="2" s="1"/>
  <c r="H690" i="2"/>
  <c r="F690" i="2"/>
  <c r="B690" i="2"/>
  <c r="P689" i="2"/>
  <c r="O689" i="2"/>
  <c r="U689" i="2" s="1"/>
  <c r="V689" i="2" s="1"/>
  <c r="N689" i="2"/>
  <c r="L689" i="2"/>
  <c r="I689" i="2"/>
  <c r="J689" i="2" s="1"/>
  <c r="H689" i="2"/>
  <c r="F689" i="2"/>
  <c r="B689" i="2"/>
  <c r="P688" i="2"/>
  <c r="O688" i="2"/>
  <c r="U688" i="2" s="1"/>
  <c r="V688" i="2" s="1"/>
  <c r="N688" i="2"/>
  <c r="L688" i="2"/>
  <c r="I688" i="2"/>
  <c r="J688" i="2" s="1"/>
  <c r="H688" i="2"/>
  <c r="F688" i="2"/>
  <c r="B688" i="2"/>
  <c r="P687" i="2"/>
  <c r="L687" i="2"/>
  <c r="J687" i="2"/>
  <c r="I687" i="2"/>
  <c r="H687" i="2"/>
  <c r="F687" i="2"/>
  <c r="B687" i="2"/>
  <c r="P686" i="2"/>
  <c r="O686" i="2"/>
  <c r="U686" i="2" s="1"/>
  <c r="V686" i="2" s="1"/>
  <c r="L686" i="2"/>
  <c r="N686" i="2" s="1"/>
  <c r="J686" i="2"/>
  <c r="I686" i="2"/>
  <c r="H686" i="2"/>
  <c r="F686" i="2"/>
  <c r="B686" i="2"/>
  <c r="P685" i="2"/>
  <c r="O685" i="2"/>
  <c r="U685" i="2" s="1"/>
  <c r="V685" i="2" s="1"/>
  <c r="N685" i="2"/>
  <c r="L685" i="2"/>
  <c r="J685" i="2"/>
  <c r="I685" i="2"/>
  <c r="H685" i="2"/>
  <c r="F685" i="2"/>
  <c r="B685" i="2"/>
  <c r="P684" i="2"/>
  <c r="O684" i="2"/>
  <c r="U684" i="2" s="1"/>
  <c r="V684" i="2" s="1"/>
  <c r="L684" i="2"/>
  <c r="N684" i="2" s="1"/>
  <c r="I684" i="2"/>
  <c r="J684" i="2" s="1"/>
  <c r="H684" i="2"/>
  <c r="F684" i="2"/>
  <c r="B684" i="2"/>
  <c r="P683" i="2"/>
  <c r="N683" i="2"/>
  <c r="L683" i="2"/>
  <c r="O683" i="2" s="1"/>
  <c r="U683" i="2" s="1"/>
  <c r="V683" i="2" s="1"/>
  <c r="J683" i="2"/>
  <c r="I683" i="2"/>
  <c r="H683" i="2"/>
  <c r="F683" i="2"/>
  <c r="B683" i="2"/>
  <c r="P682" i="2"/>
  <c r="N682" i="2"/>
  <c r="L682" i="2"/>
  <c r="O682" i="2" s="1"/>
  <c r="U682" i="2" s="1"/>
  <c r="V682" i="2" s="1"/>
  <c r="J682" i="2"/>
  <c r="I682" i="2"/>
  <c r="H682" i="2"/>
  <c r="F682" i="2"/>
  <c r="B682" i="2"/>
  <c r="P681" i="2"/>
  <c r="L681" i="2"/>
  <c r="I681" i="2"/>
  <c r="J681" i="2" s="1"/>
  <c r="H681" i="2"/>
  <c r="F681" i="2"/>
  <c r="B681" i="2"/>
  <c r="P680" i="2"/>
  <c r="O680" i="2"/>
  <c r="U680" i="2" s="1"/>
  <c r="V680" i="2" s="1"/>
  <c r="N680" i="2"/>
  <c r="L680" i="2"/>
  <c r="J680" i="2"/>
  <c r="I680" i="2"/>
  <c r="H680" i="2"/>
  <c r="F680" i="2"/>
  <c r="B680" i="2"/>
  <c r="P679" i="2"/>
  <c r="O679" i="2"/>
  <c r="U679" i="2" s="1"/>
  <c r="V679" i="2" s="1"/>
  <c r="L679" i="2"/>
  <c r="N679" i="2" s="1"/>
  <c r="I679" i="2"/>
  <c r="J679" i="2" s="1"/>
  <c r="H679" i="2"/>
  <c r="F679" i="2"/>
  <c r="B679" i="2"/>
  <c r="P678" i="2"/>
  <c r="N678" i="2"/>
  <c r="L678" i="2"/>
  <c r="O678" i="2" s="1"/>
  <c r="U678" i="2" s="1"/>
  <c r="V678" i="2" s="1"/>
  <c r="J678" i="2"/>
  <c r="I678" i="2"/>
  <c r="H678" i="2"/>
  <c r="F678" i="2"/>
  <c r="B678" i="2"/>
  <c r="P677" i="2"/>
  <c r="L677" i="2"/>
  <c r="I677" i="2"/>
  <c r="J677" i="2" s="1"/>
  <c r="H677" i="2"/>
  <c r="F677" i="2"/>
  <c r="B677" i="2"/>
  <c r="P676" i="2"/>
  <c r="O676" i="2"/>
  <c r="U676" i="2" s="1"/>
  <c r="V676" i="2" s="1"/>
  <c r="N676" i="2"/>
  <c r="L676" i="2"/>
  <c r="J676" i="2"/>
  <c r="I676" i="2"/>
  <c r="H676" i="2"/>
  <c r="F676" i="2"/>
  <c r="B676" i="2"/>
  <c r="P675" i="2"/>
  <c r="O675" i="2"/>
  <c r="U675" i="2" s="1"/>
  <c r="V675" i="2" s="1"/>
  <c r="L675" i="2"/>
  <c r="N675" i="2" s="1"/>
  <c r="I675" i="2"/>
  <c r="J675" i="2" s="1"/>
  <c r="H675" i="2"/>
  <c r="F675" i="2"/>
  <c r="B675" i="2"/>
  <c r="P674" i="2"/>
  <c r="N674" i="2"/>
  <c r="L674" i="2"/>
  <c r="O674" i="2" s="1"/>
  <c r="U674" i="2" s="1"/>
  <c r="V674" i="2" s="1"/>
  <c r="J674" i="2"/>
  <c r="I674" i="2"/>
  <c r="H674" i="2"/>
  <c r="F674" i="2"/>
  <c r="B674" i="2"/>
  <c r="P673" i="2"/>
  <c r="L673" i="2"/>
  <c r="I673" i="2"/>
  <c r="J673" i="2" s="1"/>
  <c r="H673" i="2"/>
  <c r="F673" i="2"/>
  <c r="B673" i="2"/>
  <c r="P672" i="2"/>
  <c r="O672" i="2"/>
  <c r="U672" i="2" s="1"/>
  <c r="V672" i="2" s="1"/>
  <c r="N672" i="2"/>
  <c r="L672" i="2"/>
  <c r="J672" i="2"/>
  <c r="I672" i="2"/>
  <c r="H672" i="2"/>
  <c r="F672" i="2"/>
  <c r="B672" i="2"/>
  <c r="P671" i="2"/>
  <c r="O671" i="2"/>
  <c r="U671" i="2" s="1"/>
  <c r="V671" i="2" s="1"/>
  <c r="L671" i="2"/>
  <c r="N671" i="2" s="1"/>
  <c r="I671" i="2"/>
  <c r="J671" i="2" s="1"/>
  <c r="H671" i="2"/>
  <c r="F671" i="2"/>
  <c r="B671" i="2"/>
  <c r="P670" i="2"/>
  <c r="N670" i="2"/>
  <c r="L670" i="2"/>
  <c r="O670" i="2" s="1"/>
  <c r="U670" i="2" s="1"/>
  <c r="V670" i="2" s="1"/>
  <c r="J670" i="2"/>
  <c r="I670" i="2"/>
  <c r="H670" i="2"/>
  <c r="F670" i="2"/>
  <c r="B670" i="2"/>
  <c r="P669" i="2"/>
  <c r="L669" i="2"/>
  <c r="I669" i="2"/>
  <c r="J669" i="2" s="1"/>
  <c r="H669" i="2"/>
  <c r="F669" i="2"/>
  <c r="B669" i="2"/>
  <c r="P668" i="2"/>
  <c r="O668" i="2"/>
  <c r="U668" i="2" s="1"/>
  <c r="V668" i="2" s="1"/>
  <c r="N668" i="2"/>
  <c r="L668" i="2"/>
  <c r="J668" i="2"/>
  <c r="I668" i="2"/>
  <c r="H668" i="2"/>
  <c r="F668" i="2"/>
  <c r="B668" i="2"/>
  <c r="P667" i="2"/>
  <c r="O667" i="2"/>
  <c r="U667" i="2" s="1"/>
  <c r="V667" i="2" s="1"/>
  <c r="L667" i="2"/>
  <c r="N667" i="2" s="1"/>
  <c r="I667" i="2"/>
  <c r="J667" i="2" s="1"/>
  <c r="H667" i="2"/>
  <c r="F667" i="2"/>
  <c r="B667" i="2"/>
  <c r="P666" i="2"/>
  <c r="N666" i="2"/>
  <c r="L666" i="2"/>
  <c r="O666" i="2" s="1"/>
  <c r="U666" i="2" s="1"/>
  <c r="V666" i="2" s="1"/>
  <c r="J666" i="2"/>
  <c r="I666" i="2"/>
  <c r="H666" i="2"/>
  <c r="F666" i="2"/>
  <c r="B666" i="2"/>
  <c r="P665" i="2"/>
  <c r="L665" i="2"/>
  <c r="I665" i="2"/>
  <c r="J665" i="2" s="1"/>
  <c r="H665" i="2"/>
  <c r="F665" i="2"/>
  <c r="B665" i="2"/>
  <c r="P664" i="2"/>
  <c r="O664" i="2"/>
  <c r="U664" i="2" s="1"/>
  <c r="V664" i="2" s="1"/>
  <c r="N664" i="2"/>
  <c r="L664" i="2"/>
  <c r="J664" i="2"/>
  <c r="I664" i="2"/>
  <c r="H664" i="2"/>
  <c r="F664" i="2"/>
  <c r="B664" i="2"/>
  <c r="P663" i="2"/>
  <c r="O663" i="2"/>
  <c r="U663" i="2" s="1"/>
  <c r="V663" i="2" s="1"/>
  <c r="L663" i="2"/>
  <c r="N663" i="2" s="1"/>
  <c r="I663" i="2"/>
  <c r="J663" i="2" s="1"/>
  <c r="H663" i="2"/>
  <c r="F663" i="2"/>
  <c r="B663" i="2"/>
  <c r="P662" i="2"/>
  <c r="N662" i="2"/>
  <c r="L662" i="2"/>
  <c r="O662" i="2" s="1"/>
  <c r="U662" i="2" s="1"/>
  <c r="V662" i="2" s="1"/>
  <c r="J662" i="2"/>
  <c r="I662" i="2"/>
  <c r="H662" i="2"/>
  <c r="F662" i="2"/>
  <c r="B662" i="2"/>
  <c r="P661" i="2"/>
  <c r="L661" i="2"/>
  <c r="I661" i="2"/>
  <c r="J661" i="2" s="1"/>
  <c r="H661" i="2"/>
  <c r="F661" i="2"/>
  <c r="B661" i="2"/>
  <c r="P660" i="2"/>
  <c r="O660" i="2"/>
  <c r="U660" i="2" s="1"/>
  <c r="V660" i="2" s="1"/>
  <c r="N660" i="2"/>
  <c r="L660" i="2"/>
  <c r="J660" i="2"/>
  <c r="I660" i="2"/>
  <c r="H660" i="2"/>
  <c r="F660" i="2"/>
  <c r="B660" i="2"/>
  <c r="P659" i="2"/>
  <c r="O659" i="2"/>
  <c r="U659" i="2" s="1"/>
  <c r="V659" i="2" s="1"/>
  <c r="L659" i="2"/>
  <c r="N659" i="2" s="1"/>
  <c r="I659" i="2"/>
  <c r="J659" i="2" s="1"/>
  <c r="H659" i="2"/>
  <c r="F659" i="2"/>
  <c r="B659" i="2"/>
  <c r="P658" i="2"/>
  <c r="N658" i="2"/>
  <c r="L658" i="2"/>
  <c r="O658" i="2" s="1"/>
  <c r="U658" i="2" s="1"/>
  <c r="V658" i="2" s="1"/>
  <c r="J658" i="2"/>
  <c r="I658" i="2"/>
  <c r="H658" i="2"/>
  <c r="F658" i="2"/>
  <c r="B658" i="2"/>
  <c r="P657" i="2"/>
  <c r="L657" i="2"/>
  <c r="I657" i="2"/>
  <c r="J657" i="2" s="1"/>
  <c r="H657" i="2"/>
  <c r="F657" i="2"/>
  <c r="B657" i="2"/>
  <c r="P656" i="2"/>
  <c r="O656" i="2"/>
  <c r="U656" i="2" s="1"/>
  <c r="V656" i="2" s="1"/>
  <c r="N656" i="2"/>
  <c r="L656" i="2"/>
  <c r="J656" i="2"/>
  <c r="I656" i="2"/>
  <c r="H656" i="2"/>
  <c r="F656" i="2"/>
  <c r="B656" i="2"/>
  <c r="P655" i="2"/>
  <c r="O655" i="2"/>
  <c r="U655" i="2" s="1"/>
  <c r="V655" i="2" s="1"/>
  <c r="L655" i="2"/>
  <c r="N655" i="2" s="1"/>
  <c r="I655" i="2"/>
  <c r="J655" i="2" s="1"/>
  <c r="H655" i="2"/>
  <c r="F655" i="2"/>
  <c r="B655" i="2"/>
  <c r="P654" i="2"/>
  <c r="N654" i="2"/>
  <c r="L654" i="2"/>
  <c r="O654" i="2" s="1"/>
  <c r="U654" i="2" s="1"/>
  <c r="V654" i="2" s="1"/>
  <c r="J654" i="2"/>
  <c r="I654" i="2"/>
  <c r="H654" i="2"/>
  <c r="F654" i="2"/>
  <c r="B654" i="2"/>
  <c r="P653" i="2"/>
  <c r="L653" i="2"/>
  <c r="I653" i="2"/>
  <c r="J653" i="2" s="1"/>
  <c r="H653" i="2"/>
  <c r="F653" i="2"/>
  <c r="B653" i="2"/>
  <c r="P652" i="2"/>
  <c r="O652" i="2"/>
  <c r="U652" i="2" s="1"/>
  <c r="V652" i="2" s="1"/>
  <c r="N652" i="2"/>
  <c r="L652" i="2"/>
  <c r="J652" i="2"/>
  <c r="I652" i="2"/>
  <c r="H652" i="2"/>
  <c r="F652" i="2"/>
  <c r="B652" i="2"/>
  <c r="P651" i="2"/>
  <c r="O651" i="2"/>
  <c r="U651" i="2" s="1"/>
  <c r="V651" i="2" s="1"/>
  <c r="L651" i="2"/>
  <c r="N651" i="2" s="1"/>
  <c r="I651" i="2"/>
  <c r="J651" i="2" s="1"/>
  <c r="H651" i="2"/>
  <c r="F651" i="2"/>
  <c r="B651" i="2"/>
  <c r="P650" i="2"/>
  <c r="N650" i="2"/>
  <c r="L650" i="2"/>
  <c r="O650" i="2" s="1"/>
  <c r="U650" i="2" s="1"/>
  <c r="V650" i="2" s="1"/>
  <c r="J650" i="2"/>
  <c r="I650" i="2"/>
  <c r="H650" i="2"/>
  <c r="F650" i="2"/>
  <c r="B650" i="2"/>
  <c r="P649" i="2"/>
  <c r="L649" i="2"/>
  <c r="I649" i="2"/>
  <c r="J649" i="2" s="1"/>
  <c r="H649" i="2"/>
  <c r="F649" i="2"/>
  <c r="B649" i="2"/>
  <c r="P648" i="2"/>
  <c r="O648" i="2"/>
  <c r="U648" i="2" s="1"/>
  <c r="V648" i="2" s="1"/>
  <c r="N648" i="2"/>
  <c r="L648" i="2"/>
  <c r="J648" i="2"/>
  <c r="I648" i="2"/>
  <c r="H648" i="2"/>
  <c r="F648" i="2"/>
  <c r="B648" i="2"/>
  <c r="P647" i="2"/>
  <c r="O647" i="2"/>
  <c r="U647" i="2" s="1"/>
  <c r="V647" i="2" s="1"/>
  <c r="L647" i="2"/>
  <c r="N647" i="2" s="1"/>
  <c r="I647" i="2"/>
  <c r="J647" i="2" s="1"/>
  <c r="H647" i="2"/>
  <c r="F647" i="2"/>
  <c r="B647" i="2"/>
  <c r="P646" i="2"/>
  <c r="N646" i="2"/>
  <c r="L646" i="2"/>
  <c r="O646" i="2" s="1"/>
  <c r="U646" i="2" s="1"/>
  <c r="V646" i="2" s="1"/>
  <c r="J646" i="2"/>
  <c r="I646" i="2"/>
  <c r="H646" i="2"/>
  <c r="F646" i="2"/>
  <c r="B646" i="2"/>
  <c r="P645" i="2"/>
  <c r="L645" i="2"/>
  <c r="I645" i="2"/>
  <c r="J645" i="2" s="1"/>
  <c r="H645" i="2"/>
  <c r="F645" i="2"/>
  <c r="B645" i="2"/>
  <c r="P644" i="2"/>
  <c r="O644" i="2"/>
  <c r="U644" i="2" s="1"/>
  <c r="V644" i="2" s="1"/>
  <c r="N644" i="2"/>
  <c r="L644" i="2"/>
  <c r="J644" i="2"/>
  <c r="I644" i="2"/>
  <c r="H644" i="2"/>
  <c r="F644" i="2"/>
  <c r="B644" i="2"/>
  <c r="P643" i="2"/>
  <c r="O643" i="2"/>
  <c r="U643" i="2" s="1"/>
  <c r="V643" i="2" s="1"/>
  <c r="L643" i="2"/>
  <c r="N643" i="2" s="1"/>
  <c r="I643" i="2"/>
  <c r="J643" i="2" s="1"/>
  <c r="H643" i="2"/>
  <c r="F643" i="2"/>
  <c r="B643" i="2"/>
  <c r="P642" i="2"/>
  <c r="N642" i="2"/>
  <c r="L642" i="2"/>
  <c r="O642" i="2" s="1"/>
  <c r="U642" i="2" s="1"/>
  <c r="V642" i="2" s="1"/>
  <c r="J642" i="2"/>
  <c r="I642" i="2"/>
  <c r="H642" i="2"/>
  <c r="F642" i="2"/>
  <c r="B642" i="2"/>
  <c r="P641" i="2"/>
  <c r="L641" i="2"/>
  <c r="I641" i="2"/>
  <c r="J641" i="2" s="1"/>
  <c r="H641" i="2"/>
  <c r="F641" i="2"/>
  <c r="B641" i="2"/>
  <c r="P640" i="2"/>
  <c r="O640" i="2"/>
  <c r="U640" i="2" s="1"/>
  <c r="V640" i="2" s="1"/>
  <c r="N640" i="2"/>
  <c r="L640" i="2"/>
  <c r="J640" i="2"/>
  <c r="I640" i="2"/>
  <c r="H640" i="2"/>
  <c r="F640" i="2"/>
  <c r="B640" i="2"/>
  <c r="P639" i="2"/>
  <c r="O639" i="2"/>
  <c r="U639" i="2" s="1"/>
  <c r="V639" i="2" s="1"/>
  <c r="L639" i="2"/>
  <c r="N639" i="2" s="1"/>
  <c r="I639" i="2"/>
  <c r="J639" i="2" s="1"/>
  <c r="H639" i="2"/>
  <c r="F639" i="2"/>
  <c r="B639" i="2"/>
  <c r="P638" i="2"/>
  <c r="N638" i="2"/>
  <c r="L638" i="2"/>
  <c r="O638" i="2" s="1"/>
  <c r="U638" i="2" s="1"/>
  <c r="V638" i="2" s="1"/>
  <c r="J638" i="2"/>
  <c r="I638" i="2"/>
  <c r="H638" i="2"/>
  <c r="F638" i="2"/>
  <c r="B638" i="2"/>
  <c r="P637" i="2"/>
  <c r="L637" i="2"/>
  <c r="I637" i="2"/>
  <c r="J637" i="2" s="1"/>
  <c r="H637" i="2"/>
  <c r="F637" i="2"/>
  <c r="B637" i="2"/>
  <c r="P636" i="2"/>
  <c r="O636" i="2"/>
  <c r="U636" i="2" s="1"/>
  <c r="V636" i="2" s="1"/>
  <c r="N636" i="2"/>
  <c r="L636" i="2"/>
  <c r="J636" i="2"/>
  <c r="I636" i="2"/>
  <c r="H636" i="2"/>
  <c r="F636" i="2"/>
  <c r="B636" i="2"/>
  <c r="P635" i="2"/>
  <c r="O635" i="2"/>
  <c r="U635" i="2" s="1"/>
  <c r="V635" i="2" s="1"/>
  <c r="L635" i="2"/>
  <c r="N635" i="2" s="1"/>
  <c r="I635" i="2"/>
  <c r="J635" i="2" s="1"/>
  <c r="H635" i="2"/>
  <c r="F635" i="2"/>
  <c r="B635" i="2"/>
  <c r="P634" i="2"/>
  <c r="N634" i="2"/>
  <c r="L634" i="2"/>
  <c r="O634" i="2" s="1"/>
  <c r="U634" i="2" s="1"/>
  <c r="V634" i="2" s="1"/>
  <c r="J634" i="2"/>
  <c r="I634" i="2"/>
  <c r="H634" i="2"/>
  <c r="F634" i="2"/>
  <c r="B634" i="2"/>
  <c r="P633" i="2"/>
  <c r="L633" i="2"/>
  <c r="I633" i="2"/>
  <c r="J633" i="2" s="1"/>
  <c r="H633" i="2"/>
  <c r="F633" i="2"/>
  <c r="B633" i="2"/>
  <c r="P632" i="2"/>
  <c r="O632" i="2"/>
  <c r="U632" i="2" s="1"/>
  <c r="V632" i="2" s="1"/>
  <c r="N632" i="2"/>
  <c r="L632" i="2"/>
  <c r="J632" i="2"/>
  <c r="I632" i="2"/>
  <c r="H632" i="2"/>
  <c r="F632" i="2"/>
  <c r="B632" i="2"/>
  <c r="P631" i="2"/>
  <c r="O631" i="2"/>
  <c r="U631" i="2" s="1"/>
  <c r="V631" i="2" s="1"/>
  <c r="L631" i="2"/>
  <c r="N631" i="2" s="1"/>
  <c r="I631" i="2"/>
  <c r="J631" i="2" s="1"/>
  <c r="H631" i="2"/>
  <c r="F631" i="2"/>
  <c r="B631" i="2"/>
  <c r="P630" i="2"/>
  <c r="N630" i="2"/>
  <c r="L630" i="2"/>
  <c r="O630" i="2" s="1"/>
  <c r="U630" i="2" s="1"/>
  <c r="V630" i="2" s="1"/>
  <c r="J630" i="2"/>
  <c r="I630" i="2"/>
  <c r="H630" i="2"/>
  <c r="F630" i="2"/>
  <c r="B630" i="2"/>
  <c r="P629" i="2"/>
  <c r="L629" i="2"/>
  <c r="I629" i="2"/>
  <c r="J629" i="2" s="1"/>
  <c r="H629" i="2"/>
  <c r="F629" i="2"/>
  <c r="B629" i="2"/>
  <c r="P628" i="2"/>
  <c r="O628" i="2"/>
  <c r="U628" i="2" s="1"/>
  <c r="V628" i="2" s="1"/>
  <c r="N628" i="2"/>
  <c r="L628" i="2"/>
  <c r="J628" i="2"/>
  <c r="I628" i="2"/>
  <c r="H628" i="2"/>
  <c r="F628" i="2"/>
  <c r="B628" i="2"/>
  <c r="P627" i="2"/>
  <c r="O627" i="2"/>
  <c r="U627" i="2" s="1"/>
  <c r="V627" i="2" s="1"/>
  <c r="L627" i="2"/>
  <c r="N627" i="2" s="1"/>
  <c r="I627" i="2"/>
  <c r="J627" i="2" s="1"/>
  <c r="H627" i="2"/>
  <c r="F627" i="2"/>
  <c r="B627" i="2"/>
  <c r="P626" i="2"/>
  <c r="N626" i="2"/>
  <c r="L626" i="2"/>
  <c r="O626" i="2" s="1"/>
  <c r="U626" i="2" s="1"/>
  <c r="V626" i="2" s="1"/>
  <c r="J626" i="2"/>
  <c r="I626" i="2"/>
  <c r="H626" i="2"/>
  <c r="F626" i="2"/>
  <c r="B626" i="2"/>
  <c r="P625" i="2"/>
  <c r="L625" i="2"/>
  <c r="I625" i="2"/>
  <c r="J625" i="2" s="1"/>
  <c r="H625" i="2"/>
  <c r="F625" i="2"/>
  <c r="B625" i="2"/>
  <c r="P624" i="2"/>
  <c r="O624" i="2"/>
  <c r="U624" i="2" s="1"/>
  <c r="V624" i="2" s="1"/>
  <c r="N624" i="2"/>
  <c r="L624" i="2"/>
  <c r="J624" i="2"/>
  <c r="I624" i="2"/>
  <c r="H624" i="2"/>
  <c r="F624" i="2"/>
  <c r="B624" i="2"/>
  <c r="P623" i="2"/>
  <c r="O623" i="2"/>
  <c r="U623" i="2" s="1"/>
  <c r="V623" i="2" s="1"/>
  <c r="L623" i="2"/>
  <c r="N623" i="2" s="1"/>
  <c r="I623" i="2"/>
  <c r="J623" i="2" s="1"/>
  <c r="H623" i="2"/>
  <c r="F623" i="2"/>
  <c r="B623" i="2"/>
  <c r="P622" i="2"/>
  <c r="N622" i="2"/>
  <c r="L622" i="2"/>
  <c r="O622" i="2" s="1"/>
  <c r="U622" i="2" s="1"/>
  <c r="V622" i="2" s="1"/>
  <c r="J622" i="2"/>
  <c r="I622" i="2"/>
  <c r="H622" i="2"/>
  <c r="F622" i="2"/>
  <c r="B622" i="2"/>
  <c r="P621" i="2"/>
  <c r="L621" i="2"/>
  <c r="I621" i="2"/>
  <c r="J621" i="2" s="1"/>
  <c r="H621" i="2"/>
  <c r="F621" i="2"/>
  <c r="B621" i="2"/>
  <c r="P620" i="2"/>
  <c r="O620" i="2"/>
  <c r="U620" i="2" s="1"/>
  <c r="V620" i="2" s="1"/>
  <c r="N620" i="2"/>
  <c r="L620" i="2"/>
  <c r="J620" i="2"/>
  <c r="I620" i="2"/>
  <c r="H620" i="2"/>
  <c r="F620" i="2"/>
  <c r="B620" i="2"/>
  <c r="P619" i="2"/>
  <c r="O619" i="2"/>
  <c r="U619" i="2" s="1"/>
  <c r="V619" i="2" s="1"/>
  <c r="L619" i="2"/>
  <c r="N619" i="2" s="1"/>
  <c r="I619" i="2"/>
  <c r="J619" i="2" s="1"/>
  <c r="H619" i="2"/>
  <c r="F619" i="2"/>
  <c r="B619" i="2"/>
  <c r="P618" i="2"/>
  <c r="N618" i="2"/>
  <c r="L618" i="2"/>
  <c r="O618" i="2" s="1"/>
  <c r="U618" i="2" s="1"/>
  <c r="V618" i="2" s="1"/>
  <c r="J618" i="2"/>
  <c r="I618" i="2"/>
  <c r="H618" i="2"/>
  <c r="F618" i="2"/>
  <c r="B618" i="2"/>
  <c r="P617" i="2"/>
  <c r="L617" i="2"/>
  <c r="I617" i="2"/>
  <c r="J617" i="2" s="1"/>
  <c r="H617" i="2"/>
  <c r="F617" i="2"/>
  <c r="B617" i="2"/>
  <c r="P616" i="2"/>
  <c r="O616" i="2"/>
  <c r="U616" i="2" s="1"/>
  <c r="V616" i="2" s="1"/>
  <c r="N616" i="2"/>
  <c r="L616" i="2"/>
  <c r="J616" i="2"/>
  <c r="I616" i="2"/>
  <c r="H616" i="2"/>
  <c r="F616" i="2"/>
  <c r="B616" i="2"/>
  <c r="P615" i="2"/>
  <c r="O615" i="2"/>
  <c r="U615" i="2" s="1"/>
  <c r="V615" i="2" s="1"/>
  <c r="L615" i="2"/>
  <c r="N615" i="2" s="1"/>
  <c r="I615" i="2"/>
  <c r="J615" i="2" s="1"/>
  <c r="H615" i="2"/>
  <c r="F615" i="2"/>
  <c r="B615" i="2"/>
  <c r="P614" i="2"/>
  <c r="N614" i="2"/>
  <c r="L614" i="2"/>
  <c r="O614" i="2" s="1"/>
  <c r="U614" i="2" s="1"/>
  <c r="V614" i="2" s="1"/>
  <c r="J614" i="2"/>
  <c r="I614" i="2"/>
  <c r="H614" i="2"/>
  <c r="F614" i="2"/>
  <c r="B614" i="2"/>
  <c r="P613" i="2"/>
  <c r="L613" i="2"/>
  <c r="I613" i="2"/>
  <c r="J613" i="2" s="1"/>
  <c r="H613" i="2"/>
  <c r="F613" i="2"/>
  <c r="B613" i="2"/>
  <c r="P612" i="2"/>
  <c r="O612" i="2"/>
  <c r="U612" i="2" s="1"/>
  <c r="V612" i="2" s="1"/>
  <c r="N612" i="2"/>
  <c r="L612" i="2"/>
  <c r="J612" i="2"/>
  <c r="I612" i="2"/>
  <c r="H612" i="2"/>
  <c r="F612" i="2"/>
  <c r="B612" i="2"/>
  <c r="P611" i="2"/>
  <c r="O611" i="2"/>
  <c r="U611" i="2" s="1"/>
  <c r="V611" i="2" s="1"/>
  <c r="L611" i="2"/>
  <c r="N611" i="2" s="1"/>
  <c r="I611" i="2"/>
  <c r="J611" i="2" s="1"/>
  <c r="H611" i="2"/>
  <c r="F611" i="2"/>
  <c r="B611" i="2"/>
  <c r="P610" i="2"/>
  <c r="N610" i="2"/>
  <c r="L610" i="2"/>
  <c r="O610" i="2" s="1"/>
  <c r="U610" i="2" s="1"/>
  <c r="V610" i="2" s="1"/>
  <c r="J610" i="2"/>
  <c r="I610" i="2"/>
  <c r="H610" i="2"/>
  <c r="F610" i="2"/>
  <c r="B610" i="2"/>
  <c r="P609" i="2"/>
  <c r="L609" i="2"/>
  <c r="I609" i="2"/>
  <c r="J609" i="2" s="1"/>
  <c r="H609" i="2"/>
  <c r="F609" i="2"/>
  <c r="B609" i="2"/>
  <c r="P608" i="2"/>
  <c r="O608" i="2"/>
  <c r="U608" i="2" s="1"/>
  <c r="V608" i="2" s="1"/>
  <c r="N608" i="2"/>
  <c r="L608" i="2"/>
  <c r="J608" i="2"/>
  <c r="I608" i="2"/>
  <c r="H608" i="2"/>
  <c r="F608" i="2"/>
  <c r="B608" i="2"/>
  <c r="P607" i="2"/>
  <c r="O607" i="2"/>
  <c r="U607" i="2" s="1"/>
  <c r="V607" i="2" s="1"/>
  <c r="L607" i="2"/>
  <c r="N607" i="2" s="1"/>
  <c r="I607" i="2"/>
  <c r="J607" i="2" s="1"/>
  <c r="H607" i="2"/>
  <c r="F607" i="2"/>
  <c r="B607" i="2"/>
  <c r="P606" i="2"/>
  <c r="N606" i="2"/>
  <c r="L606" i="2"/>
  <c r="O606" i="2" s="1"/>
  <c r="U606" i="2" s="1"/>
  <c r="V606" i="2" s="1"/>
  <c r="J606" i="2"/>
  <c r="I606" i="2"/>
  <c r="H606" i="2"/>
  <c r="F606" i="2"/>
  <c r="B606" i="2"/>
  <c r="P605" i="2"/>
  <c r="L605" i="2"/>
  <c r="I605" i="2"/>
  <c r="J605" i="2" s="1"/>
  <c r="H605" i="2"/>
  <c r="F605" i="2"/>
  <c r="B605" i="2"/>
  <c r="P604" i="2"/>
  <c r="O604" i="2"/>
  <c r="U604" i="2" s="1"/>
  <c r="V604" i="2" s="1"/>
  <c r="N604" i="2"/>
  <c r="L604" i="2"/>
  <c r="J604" i="2"/>
  <c r="I604" i="2"/>
  <c r="H604" i="2"/>
  <c r="F604" i="2"/>
  <c r="B604" i="2"/>
  <c r="P603" i="2"/>
  <c r="O603" i="2"/>
  <c r="U603" i="2" s="1"/>
  <c r="V603" i="2" s="1"/>
  <c r="L603" i="2"/>
  <c r="N603" i="2" s="1"/>
  <c r="I603" i="2"/>
  <c r="J603" i="2" s="1"/>
  <c r="H603" i="2"/>
  <c r="F603" i="2"/>
  <c r="B603" i="2"/>
  <c r="P602" i="2"/>
  <c r="N602" i="2"/>
  <c r="L602" i="2"/>
  <c r="O602" i="2" s="1"/>
  <c r="U602" i="2" s="1"/>
  <c r="V602" i="2" s="1"/>
  <c r="J602" i="2"/>
  <c r="I602" i="2"/>
  <c r="H602" i="2"/>
  <c r="F602" i="2"/>
  <c r="B602" i="2"/>
  <c r="P601" i="2"/>
  <c r="L601" i="2"/>
  <c r="I601" i="2"/>
  <c r="J601" i="2" s="1"/>
  <c r="H601" i="2"/>
  <c r="F601" i="2"/>
  <c r="B601" i="2"/>
  <c r="P600" i="2"/>
  <c r="O600" i="2"/>
  <c r="U600" i="2" s="1"/>
  <c r="V600" i="2" s="1"/>
  <c r="N600" i="2"/>
  <c r="L600" i="2"/>
  <c r="J600" i="2"/>
  <c r="I600" i="2"/>
  <c r="H600" i="2"/>
  <c r="F600" i="2"/>
  <c r="B600" i="2"/>
  <c r="P599" i="2"/>
  <c r="O599" i="2"/>
  <c r="U599" i="2" s="1"/>
  <c r="V599" i="2" s="1"/>
  <c r="L599" i="2"/>
  <c r="N599" i="2" s="1"/>
  <c r="I599" i="2"/>
  <c r="J599" i="2" s="1"/>
  <c r="H599" i="2"/>
  <c r="F599" i="2"/>
  <c r="B599" i="2"/>
  <c r="P598" i="2"/>
  <c r="N598" i="2"/>
  <c r="L598" i="2"/>
  <c r="O598" i="2" s="1"/>
  <c r="U598" i="2" s="1"/>
  <c r="V598" i="2" s="1"/>
  <c r="J598" i="2"/>
  <c r="I598" i="2"/>
  <c r="H598" i="2"/>
  <c r="F598" i="2"/>
  <c r="B598" i="2"/>
  <c r="P597" i="2"/>
  <c r="L597" i="2"/>
  <c r="I597" i="2"/>
  <c r="J597" i="2" s="1"/>
  <c r="H597" i="2"/>
  <c r="F597" i="2"/>
  <c r="B597" i="2"/>
  <c r="P596" i="2"/>
  <c r="O596" i="2"/>
  <c r="U596" i="2" s="1"/>
  <c r="V596" i="2" s="1"/>
  <c r="N596" i="2"/>
  <c r="L596" i="2"/>
  <c r="J596" i="2"/>
  <c r="I596" i="2"/>
  <c r="H596" i="2"/>
  <c r="F596" i="2"/>
  <c r="B596" i="2"/>
  <c r="P595" i="2"/>
  <c r="O595" i="2"/>
  <c r="U595" i="2" s="1"/>
  <c r="V595" i="2" s="1"/>
  <c r="L595" i="2"/>
  <c r="N595" i="2" s="1"/>
  <c r="I595" i="2"/>
  <c r="J595" i="2" s="1"/>
  <c r="H595" i="2"/>
  <c r="F595" i="2"/>
  <c r="B595" i="2"/>
  <c r="P594" i="2"/>
  <c r="N594" i="2"/>
  <c r="L594" i="2"/>
  <c r="O594" i="2" s="1"/>
  <c r="U594" i="2" s="1"/>
  <c r="V594" i="2" s="1"/>
  <c r="J594" i="2"/>
  <c r="I594" i="2"/>
  <c r="H594" i="2"/>
  <c r="F594" i="2"/>
  <c r="B594" i="2"/>
  <c r="P593" i="2"/>
  <c r="L593" i="2"/>
  <c r="I593" i="2"/>
  <c r="J593" i="2" s="1"/>
  <c r="H593" i="2"/>
  <c r="F593" i="2"/>
  <c r="B593" i="2"/>
  <c r="P592" i="2"/>
  <c r="O592" i="2"/>
  <c r="U592" i="2" s="1"/>
  <c r="V592" i="2" s="1"/>
  <c r="N592" i="2"/>
  <c r="L592" i="2"/>
  <c r="J592" i="2"/>
  <c r="I592" i="2"/>
  <c r="H592" i="2"/>
  <c r="F592" i="2"/>
  <c r="B592" i="2"/>
  <c r="P591" i="2"/>
  <c r="O591" i="2"/>
  <c r="U591" i="2" s="1"/>
  <c r="V591" i="2" s="1"/>
  <c r="L591" i="2"/>
  <c r="N591" i="2" s="1"/>
  <c r="I591" i="2"/>
  <c r="J591" i="2" s="1"/>
  <c r="H591" i="2"/>
  <c r="F591" i="2"/>
  <c r="B591" i="2"/>
  <c r="P590" i="2"/>
  <c r="N590" i="2"/>
  <c r="L590" i="2"/>
  <c r="O590" i="2" s="1"/>
  <c r="U590" i="2" s="1"/>
  <c r="V590" i="2" s="1"/>
  <c r="J590" i="2"/>
  <c r="I590" i="2"/>
  <c r="H590" i="2"/>
  <c r="F590" i="2"/>
  <c r="B590" i="2"/>
  <c r="P589" i="2"/>
  <c r="L589" i="2"/>
  <c r="I589" i="2"/>
  <c r="J589" i="2" s="1"/>
  <c r="H589" i="2"/>
  <c r="F589" i="2"/>
  <c r="B589" i="2"/>
  <c r="P588" i="2"/>
  <c r="O588" i="2"/>
  <c r="U588" i="2" s="1"/>
  <c r="V588" i="2" s="1"/>
  <c r="N588" i="2"/>
  <c r="L588" i="2"/>
  <c r="J588" i="2"/>
  <c r="I588" i="2"/>
  <c r="H588" i="2"/>
  <c r="F588" i="2"/>
  <c r="B588" i="2"/>
  <c r="P587" i="2"/>
  <c r="O587" i="2"/>
  <c r="U587" i="2" s="1"/>
  <c r="V587" i="2" s="1"/>
  <c r="L587" i="2"/>
  <c r="N587" i="2" s="1"/>
  <c r="I587" i="2"/>
  <c r="J587" i="2" s="1"/>
  <c r="H587" i="2"/>
  <c r="F587" i="2"/>
  <c r="B587" i="2"/>
  <c r="P586" i="2"/>
  <c r="N586" i="2"/>
  <c r="L586" i="2"/>
  <c r="O586" i="2" s="1"/>
  <c r="U586" i="2" s="1"/>
  <c r="V586" i="2" s="1"/>
  <c r="J586" i="2"/>
  <c r="I586" i="2"/>
  <c r="H586" i="2"/>
  <c r="F586" i="2"/>
  <c r="B586" i="2"/>
  <c r="P585" i="2"/>
  <c r="L585" i="2"/>
  <c r="I585" i="2"/>
  <c r="J585" i="2" s="1"/>
  <c r="H585" i="2"/>
  <c r="F585" i="2"/>
  <c r="B585" i="2"/>
  <c r="P584" i="2"/>
  <c r="O584" i="2"/>
  <c r="U584" i="2" s="1"/>
  <c r="V584" i="2" s="1"/>
  <c r="N584" i="2"/>
  <c r="L584" i="2"/>
  <c r="J584" i="2"/>
  <c r="I584" i="2"/>
  <c r="H584" i="2"/>
  <c r="F584" i="2"/>
  <c r="B584" i="2"/>
  <c r="P583" i="2"/>
  <c r="O583" i="2"/>
  <c r="U583" i="2" s="1"/>
  <c r="V583" i="2" s="1"/>
  <c r="L583" i="2"/>
  <c r="N583" i="2" s="1"/>
  <c r="I583" i="2"/>
  <c r="J583" i="2" s="1"/>
  <c r="H583" i="2"/>
  <c r="F583" i="2"/>
  <c r="B583" i="2"/>
  <c r="P582" i="2"/>
  <c r="N582" i="2"/>
  <c r="L582" i="2"/>
  <c r="O582" i="2" s="1"/>
  <c r="U582" i="2" s="1"/>
  <c r="V582" i="2" s="1"/>
  <c r="J582" i="2"/>
  <c r="I582" i="2"/>
  <c r="H582" i="2"/>
  <c r="F582" i="2"/>
  <c r="B582" i="2"/>
  <c r="P581" i="2"/>
  <c r="L581" i="2"/>
  <c r="I581" i="2"/>
  <c r="J581" i="2" s="1"/>
  <c r="H581" i="2"/>
  <c r="F581" i="2"/>
  <c r="B581" i="2"/>
  <c r="P580" i="2"/>
  <c r="O580" i="2"/>
  <c r="U580" i="2" s="1"/>
  <c r="V580" i="2" s="1"/>
  <c r="N580" i="2"/>
  <c r="L580" i="2"/>
  <c r="J580" i="2"/>
  <c r="I580" i="2"/>
  <c r="H580" i="2"/>
  <c r="F580" i="2"/>
  <c r="B580" i="2"/>
  <c r="P579" i="2"/>
  <c r="O579" i="2"/>
  <c r="U579" i="2" s="1"/>
  <c r="V579" i="2" s="1"/>
  <c r="L579" i="2"/>
  <c r="N579" i="2" s="1"/>
  <c r="I579" i="2"/>
  <c r="J579" i="2" s="1"/>
  <c r="H579" i="2"/>
  <c r="F579" i="2"/>
  <c r="B579" i="2"/>
  <c r="P578" i="2"/>
  <c r="N578" i="2"/>
  <c r="L578" i="2"/>
  <c r="O578" i="2" s="1"/>
  <c r="U578" i="2" s="1"/>
  <c r="V578" i="2" s="1"/>
  <c r="J578" i="2"/>
  <c r="I578" i="2"/>
  <c r="H578" i="2"/>
  <c r="F578" i="2"/>
  <c r="B578" i="2"/>
  <c r="P577" i="2"/>
  <c r="L577" i="2"/>
  <c r="I577" i="2"/>
  <c r="J577" i="2" s="1"/>
  <c r="H577" i="2"/>
  <c r="F577" i="2"/>
  <c r="B577" i="2"/>
  <c r="P576" i="2"/>
  <c r="O576" i="2"/>
  <c r="U576" i="2" s="1"/>
  <c r="V576" i="2" s="1"/>
  <c r="N576" i="2"/>
  <c r="L576" i="2"/>
  <c r="J576" i="2"/>
  <c r="I576" i="2"/>
  <c r="H576" i="2"/>
  <c r="F576" i="2"/>
  <c r="B576" i="2"/>
  <c r="P575" i="2"/>
  <c r="O575" i="2"/>
  <c r="U575" i="2" s="1"/>
  <c r="V575" i="2" s="1"/>
  <c r="L575" i="2"/>
  <c r="N575" i="2" s="1"/>
  <c r="I575" i="2"/>
  <c r="J575" i="2" s="1"/>
  <c r="H575" i="2"/>
  <c r="F575" i="2"/>
  <c r="B575" i="2"/>
  <c r="P574" i="2"/>
  <c r="N574" i="2"/>
  <c r="L574" i="2"/>
  <c r="O574" i="2" s="1"/>
  <c r="U574" i="2" s="1"/>
  <c r="V574" i="2" s="1"/>
  <c r="J574" i="2"/>
  <c r="I574" i="2"/>
  <c r="H574" i="2"/>
  <c r="F574" i="2"/>
  <c r="B574" i="2"/>
  <c r="P573" i="2"/>
  <c r="L573" i="2"/>
  <c r="I573" i="2"/>
  <c r="J573" i="2" s="1"/>
  <c r="H573" i="2"/>
  <c r="F573" i="2"/>
  <c r="B573" i="2"/>
  <c r="P572" i="2"/>
  <c r="O572" i="2"/>
  <c r="U572" i="2" s="1"/>
  <c r="V572" i="2" s="1"/>
  <c r="N572" i="2"/>
  <c r="L572" i="2"/>
  <c r="J572" i="2"/>
  <c r="I572" i="2"/>
  <c r="H572" i="2"/>
  <c r="F572" i="2"/>
  <c r="B572" i="2"/>
  <c r="P571" i="2"/>
  <c r="O571" i="2"/>
  <c r="U571" i="2" s="1"/>
  <c r="V571" i="2" s="1"/>
  <c r="L571" i="2"/>
  <c r="N571" i="2" s="1"/>
  <c r="I571" i="2"/>
  <c r="J571" i="2" s="1"/>
  <c r="H571" i="2"/>
  <c r="F571" i="2"/>
  <c r="B571" i="2"/>
  <c r="P570" i="2"/>
  <c r="N570" i="2"/>
  <c r="L570" i="2"/>
  <c r="O570" i="2" s="1"/>
  <c r="U570" i="2" s="1"/>
  <c r="V570" i="2" s="1"/>
  <c r="J570" i="2"/>
  <c r="I570" i="2"/>
  <c r="H570" i="2"/>
  <c r="F570" i="2"/>
  <c r="B570" i="2"/>
  <c r="P569" i="2"/>
  <c r="L569" i="2"/>
  <c r="I569" i="2"/>
  <c r="J569" i="2" s="1"/>
  <c r="H569" i="2"/>
  <c r="F569" i="2"/>
  <c r="B569" i="2"/>
  <c r="P568" i="2"/>
  <c r="O568" i="2"/>
  <c r="U568" i="2" s="1"/>
  <c r="V568" i="2" s="1"/>
  <c r="N568" i="2"/>
  <c r="L568" i="2"/>
  <c r="J568" i="2"/>
  <c r="I568" i="2"/>
  <c r="H568" i="2"/>
  <c r="F568" i="2"/>
  <c r="B568" i="2"/>
  <c r="P567" i="2"/>
  <c r="O567" i="2"/>
  <c r="U567" i="2" s="1"/>
  <c r="V567" i="2" s="1"/>
  <c r="L567" i="2"/>
  <c r="N567" i="2" s="1"/>
  <c r="I567" i="2"/>
  <c r="J567" i="2" s="1"/>
  <c r="H567" i="2"/>
  <c r="F567" i="2"/>
  <c r="B567" i="2"/>
  <c r="P566" i="2"/>
  <c r="N566" i="2"/>
  <c r="L566" i="2"/>
  <c r="O566" i="2" s="1"/>
  <c r="U566" i="2" s="1"/>
  <c r="V566" i="2" s="1"/>
  <c r="J566" i="2"/>
  <c r="I566" i="2"/>
  <c r="H566" i="2"/>
  <c r="F566" i="2"/>
  <c r="B566" i="2"/>
  <c r="P565" i="2"/>
  <c r="L565" i="2"/>
  <c r="I565" i="2"/>
  <c r="J565" i="2" s="1"/>
  <c r="H565" i="2"/>
  <c r="F565" i="2"/>
  <c r="B565" i="2"/>
  <c r="P564" i="2"/>
  <c r="O564" i="2"/>
  <c r="U564" i="2" s="1"/>
  <c r="V564" i="2" s="1"/>
  <c r="N564" i="2"/>
  <c r="L564" i="2"/>
  <c r="J564" i="2"/>
  <c r="I564" i="2"/>
  <c r="H564" i="2"/>
  <c r="F564" i="2"/>
  <c r="B564" i="2"/>
  <c r="P563" i="2"/>
  <c r="O563" i="2"/>
  <c r="U563" i="2" s="1"/>
  <c r="V563" i="2" s="1"/>
  <c r="L563" i="2"/>
  <c r="N563" i="2" s="1"/>
  <c r="I563" i="2"/>
  <c r="J563" i="2" s="1"/>
  <c r="H563" i="2"/>
  <c r="F563" i="2"/>
  <c r="B563" i="2"/>
  <c r="P562" i="2"/>
  <c r="N562" i="2"/>
  <c r="L562" i="2"/>
  <c r="O562" i="2" s="1"/>
  <c r="U562" i="2" s="1"/>
  <c r="V562" i="2" s="1"/>
  <c r="J562" i="2"/>
  <c r="I562" i="2"/>
  <c r="H562" i="2"/>
  <c r="F562" i="2"/>
  <c r="B562" i="2"/>
  <c r="P561" i="2"/>
  <c r="L561" i="2"/>
  <c r="I561" i="2"/>
  <c r="J561" i="2" s="1"/>
  <c r="H561" i="2"/>
  <c r="F561" i="2"/>
  <c r="B561" i="2"/>
  <c r="P560" i="2"/>
  <c r="O560" i="2"/>
  <c r="U560" i="2" s="1"/>
  <c r="V560" i="2" s="1"/>
  <c r="N560" i="2"/>
  <c r="L560" i="2"/>
  <c r="J560" i="2"/>
  <c r="I560" i="2"/>
  <c r="H560" i="2"/>
  <c r="F560" i="2"/>
  <c r="B560" i="2"/>
  <c r="P559" i="2"/>
  <c r="O559" i="2"/>
  <c r="U559" i="2" s="1"/>
  <c r="V559" i="2" s="1"/>
  <c r="L559" i="2"/>
  <c r="N559" i="2" s="1"/>
  <c r="I559" i="2"/>
  <c r="J559" i="2" s="1"/>
  <c r="H559" i="2"/>
  <c r="F559" i="2"/>
  <c r="B559" i="2"/>
  <c r="P558" i="2"/>
  <c r="N558" i="2"/>
  <c r="L558" i="2"/>
  <c r="O558" i="2" s="1"/>
  <c r="U558" i="2" s="1"/>
  <c r="V558" i="2" s="1"/>
  <c r="J558" i="2"/>
  <c r="I558" i="2"/>
  <c r="H558" i="2"/>
  <c r="F558" i="2"/>
  <c r="B558" i="2"/>
  <c r="P557" i="2"/>
  <c r="L557" i="2"/>
  <c r="I557" i="2"/>
  <c r="J557" i="2" s="1"/>
  <c r="H557" i="2"/>
  <c r="F557" i="2"/>
  <c r="B557" i="2"/>
  <c r="P556" i="2"/>
  <c r="O556" i="2"/>
  <c r="U556" i="2" s="1"/>
  <c r="V556" i="2" s="1"/>
  <c r="N556" i="2"/>
  <c r="L556" i="2"/>
  <c r="J556" i="2"/>
  <c r="I556" i="2"/>
  <c r="H556" i="2"/>
  <c r="F556" i="2"/>
  <c r="B556" i="2"/>
  <c r="P555" i="2"/>
  <c r="O555" i="2"/>
  <c r="U555" i="2" s="1"/>
  <c r="V555" i="2" s="1"/>
  <c r="L555" i="2"/>
  <c r="N555" i="2" s="1"/>
  <c r="I555" i="2"/>
  <c r="J555" i="2" s="1"/>
  <c r="H555" i="2"/>
  <c r="F555" i="2"/>
  <c r="B555" i="2"/>
  <c r="P554" i="2"/>
  <c r="N554" i="2"/>
  <c r="L554" i="2"/>
  <c r="O554" i="2" s="1"/>
  <c r="U554" i="2" s="1"/>
  <c r="V554" i="2" s="1"/>
  <c r="J554" i="2"/>
  <c r="I554" i="2"/>
  <c r="H554" i="2"/>
  <c r="F554" i="2"/>
  <c r="B554" i="2"/>
  <c r="P553" i="2"/>
  <c r="L553" i="2"/>
  <c r="I553" i="2"/>
  <c r="J553" i="2" s="1"/>
  <c r="H553" i="2"/>
  <c r="F553" i="2"/>
  <c r="B553" i="2"/>
  <c r="P552" i="2"/>
  <c r="O552" i="2"/>
  <c r="U552" i="2" s="1"/>
  <c r="V552" i="2" s="1"/>
  <c r="N552" i="2"/>
  <c r="L552" i="2"/>
  <c r="J552" i="2"/>
  <c r="I552" i="2"/>
  <c r="H552" i="2"/>
  <c r="F552" i="2"/>
  <c r="B552" i="2"/>
  <c r="P551" i="2"/>
  <c r="O551" i="2"/>
  <c r="U551" i="2" s="1"/>
  <c r="V551" i="2" s="1"/>
  <c r="L551" i="2"/>
  <c r="N551" i="2" s="1"/>
  <c r="I551" i="2"/>
  <c r="J551" i="2" s="1"/>
  <c r="H551" i="2"/>
  <c r="F551" i="2"/>
  <c r="B551" i="2"/>
  <c r="P550" i="2"/>
  <c r="N550" i="2"/>
  <c r="L550" i="2"/>
  <c r="O550" i="2" s="1"/>
  <c r="U550" i="2" s="1"/>
  <c r="V550" i="2" s="1"/>
  <c r="J550" i="2"/>
  <c r="I550" i="2"/>
  <c r="H550" i="2"/>
  <c r="F550" i="2"/>
  <c r="B550" i="2"/>
  <c r="P549" i="2"/>
  <c r="L549" i="2"/>
  <c r="I549" i="2"/>
  <c r="J549" i="2" s="1"/>
  <c r="H549" i="2"/>
  <c r="F549" i="2"/>
  <c r="B549" i="2"/>
  <c r="P548" i="2"/>
  <c r="O548" i="2"/>
  <c r="U548" i="2" s="1"/>
  <c r="V548" i="2" s="1"/>
  <c r="N548" i="2"/>
  <c r="L548" i="2"/>
  <c r="J548" i="2"/>
  <c r="I548" i="2"/>
  <c r="H548" i="2"/>
  <c r="F548" i="2"/>
  <c r="B548" i="2"/>
  <c r="P547" i="2"/>
  <c r="O547" i="2"/>
  <c r="U547" i="2" s="1"/>
  <c r="V547" i="2" s="1"/>
  <c r="L547" i="2"/>
  <c r="N547" i="2" s="1"/>
  <c r="I547" i="2"/>
  <c r="J547" i="2" s="1"/>
  <c r="H547" i="2"/>
  <c r="F547" i="2"/>
  <c r="B547" i="2"/>
  <c r="P546" i="2"/>
  <c r="N546" i="2"/>
  <c r="L546" i="2"/>
  <c r="O546" i="2" s="1"/>
  <c r="U546" i="2" s="1"/>
  <c r="V546" i="2" s="1"/>
  <c r="J546" i="2"/>
  <c r="I546" i="2"/>
  <c r="H546" i="2"/>
  <c r="F546" i="2"/>
  <c r="B546" i="2"/>
  <c r="P545" i="2"/>
  <c r="L545" i="2"/>
  <c r="I545" i="2"/>
  <c r="J545" i="2" s="1"/>
  <c r="H545" i="2"/>
  <c r="F545" i="2"/>
  <c r="B545" i="2"/>
  <c r="P544" i="2"/>
  <c r="O544" i="2"/>
  <c r="U544" i="2" s="1"/>
  <c r="V544" i="2" s="1"/>
  <c r="N544" i="2"/>
  <c r="L544" i="2"/>
  <c r="J544" i="2"/>
  <c r="I544" i="2"/>
  <c r="H544" i="2"/>
  <c r="F544" i="2"/>
  <c r="B544" i="2"/>
  <c r="P543" i="2"/>
  <c r="O543" i="2"/>
  <c r="U543" i="2" s="1"/>
  <c r="V543" i="2" s="1"/>
  <c r="L543" i="2"/>
  <c r="N543" i="2" s="1"/>
  <c r="I543" i="2"/>
  <c r="J543" i="2" s="1"/>
  <c r="H543" i="2"/>
  <c r="F543" i="2"/>
  <c r="B543" i="2"/>
  <c r="P542" i="2"/>
  <c r="N542" i="2"/>
  <c r="L542" i="2"/>
  <c r="O542" i="2" s="1"/>
  <c r="U542" i="2" s="1"/>
  <c r="V542" i="2" s="1"/>
  <c r="J542" i="2"/>
  <c r="I542" i="2"/>
  <c r="H542" i="2"/>
  <c r="F542" i="2"/>
  <c r="B542" i="2"/>
  <c r="P541" i="2"/>
  <c r="L541" i="2"/>
  <c r="I541" i="2"/>
  <c r="J541" i="2" s="1"/>
  <c r="H541" i="2"/>
  <c r="F541" i="2"/>
  <c r="B541" i="2"/>
  <c r="P540" i="2"/>
  <c r="O540" i="2"/>
  <c r="U540" i="2" s="1"/>
  <c r="V540" i="2" s="1"/>
  <c r="N540" i="2"/>
  <c r="L540" i="2"/>
  <c r="J540" i="2"/>
  <c r="I540" i="2"/>
  <c r="H540" i="2"/>
  <c r="F540" i="2"/>
  <c r="B540" i="2"/>
  <c r="P539" i="2"/>
  <c r="O539" i="2"/>
  <c r="U539" i="2" s="1"/>
  <c r="V539" i="2" s="1"/>
  <c r="L539" i="2"/>
  <c r="N539" i="2" s="1"/>
  <c r="I539" i="2"/>
  <c r="J539" i="2" s="1"/>
  <c r="H539" i="2"/>
  <c r="F539" i="2"/>
  <c r="B539" i="2"/>
  <c r="P538" i="2"/>
  <c r="N538" i="2"/>
  <c r="L538" i="2"/>
  <c r="O538" i="2" s="1"/>
  <c r="U538" i="2" s="1"/>
  <c r="V538" i="2" s="1"/>
  <c r="J538" i="2"/>
  <c r="I538" i="2"/>
  <c r="H538" i="2"/>
  <c r="F538" i="2"/>
  <c r="B538" i="2"/>
  <c r="P537" i="2"/>
  <c r="L537" i="2"/>
  <c r="I537" i="2"/>
  <c r="J537" i="2" s="1"/>
  <c r="H537" i="2"/>
  <c r="F537" i="2"/>
  <c r="B537" i="2"/>
  <c r="P536" i="2"/>
  <c r="O536" i="2"/>
  <c r="U536" i="2" s="1"/>
  <c r="V536" i="2" s="1"/>
  <c r="N536" i="2"/>
  <c r="L536" i="2"/>
  <c r="J536" i="2"/>
  <c r="I536" i="2"/>
  <c r="H536" i="2"/>
  <c r="F536" i="2"/>
  <c r="B536" i="2"/>
  <c r="P535" i="2"/>
  <c r="O535" i="2"/>
  <c r="U535" i="2" s="1"/>
  <c r="V535" i="2" s="1"/>
  <c r="L535" i="2"/>
  <c r="N535" i="2" s="1"/>
  <c r="I535" i="2"/>
  <c r="J535" i="2" s="1"/>
  <c r="H535" i="2"/>
  <c r="F535" i="2"/>
  <c r="B535" i="2"/>
  <c r="P534" i="2"/>
  <c r="N534" i="2"/>
  <c r="L534" i="2"/>
  <c r="O534" i="2" s="1"/>
  <c r="U534" i="2" s="1"/>
  <c r="V534" i="2" s="1"/>
  <c r="J534" i="2"/>
  <c r="I534" i="2"/>
  <c r="H534" i="2"/>
  <c r="F534" i="2"/>
  <c r="B534" i="2"/>
  <c r="P533" i="2"/>
  <c r="L533" i="2"/>
  <c r="I533" i="2"/>
  <c r="J533" i="2" s="1"/>
  <c r="H533" i="2"/>
  <c r="F533" i="2"/>
  <c r="B533" i="2"/>
  <c r="P532" i="2"/>
  <c r="O532" i="2"/>
  <c r="U532" i="2" s="1"/>
  <c r="V532" i="2" s="1"/>
  <c r="N532" i="2"/>
  <c r="L532" i="2"/>
  <c r="J532" i="2"/>
  <c r="I532" i="2"/>
  <c r="H532" i="2"/>
  <c r="F532" i="2"/>
  <c r="B532" i="2"/>
  <c r="P531" i="2"/>
  <c r="O531" i="2"/>
  <c r="U531" i="2" s="1"/>
  <c r="V531" i="2" s="1"/>
  <c r="L531" i="2"/>
  <c r="N531" i="2" s="1"/>
  <c r="I531" i="2"/>
  <c r="J531" i="2" s="1"/>
  <c r="H531" i="2"/>
  <c r="F531" i="2"/>
  <c r="B531" i="2"/>
  <c r="P530" i="2"/>
  <c r="N530" i="2"/>
  <c r="L530" i="2"/>
  <c r="O530" i="2" s="1"/>
  <c r="U530" i="2" s="1"/>
  <c r="V530" i="2" s="1"/>
  <c r="J530" i="2"/>
  <c r="I530" i="2"/>
  <c r="H530" i="2"/>
  <c r="F530" i="2"/>
  <c r="B530" i="2"/>
  <c r="P529" i="2"/>
  <c r="L529" i="2"/>
  <c r="I529" i="2"/>
  <c r="J529" i="2" s="1"/>
  <c r="H529" i="2"/>
  <c r="F529" i="2"/>
  <c r="B529" i="2"/>
  <c r="P528" i="2"/>
  <c r="O528" i="2"/>
  <c r="U528" i="2" s="1"/>
  <c r="V528" i="2" s="1"/>
  <c r="N528" i="2"/>
  <c r="L528" i="2"/>
  <c r="J528" i="2"/>
  <c r="I528" i="2"/>
  <c r="H528" i="2"/>
  <c r="F528" i="2"/>
  <c r="B528" i="2"/>
  <c r="P527" i="2"/>
  <c r="O527" i="2"/>
  <c r="U527" i="2" s="1"/>
  <c r="V527" i="2" s="1"/>
  <c r="L527" i="2"/>
  <c r="N527" i="2" s="1"/>
  <c r="I527" i="2"/>
  <c r="J527" i="2" s="1"/>
  <c r="H527" i="2"/>
  <c r="F527" i="2"/>
  <c r="B527" i="2"/>
  <c r="P526" i="2"/>
  <c r="N526" i="2"/>
  <c r="L526" i="2"/>
  <c r="O526" i="2" s="1"/>
  <c r="U526" i="2" s="1"/>
  <c r="V526" i="2" s="1"/>
  <c r="J526" i="2"/>
  <c r="I526" i="2"/>
  <c r="H526" i="2"/>
  <c r="F526" i="2"/>
  <c r="B526" i="2"/>
  <c r="P525" i="2"/>
  <c r="L525" i="2"/>
  <c r="I525" i="2"/>
  <c r="J525" i="2" s="1"/>
  <c r="H525" i="2"/>
  <c r="F525" i="2"/>
  <c r="B525" i="2"/>
  <c r="P524" i="2"/>
  <c r="O524" i="2"/>
  <c r="U524" i="2" s="1"/>
  <c r="V524" i="2" s="1"/>
  <c r="N524" i="2"/>
  <c r="L524" i="2"/>
  <c r="J524" i="2"/>
  <c r="I524" i="2"/>
  <c r="H524" i="2"/>
  <c r="F524" i="2"/>
  <c r="B524" i="2"/>
  <c r="P523" i="2"/>
  <c r="O523" i="2"/>
  <c r="U523" i="2" s="1"/>
  <c r="V523" i="2" s="1"/>
  <c r="L523" i="2"/>
  <c r="N523" i="2" s="1"/>
  <c r="I523" i="2"/>
  <c r="J523" i="2" s="1"/>
  <c r="H523" i="2"/>
  <c r="F523" i="2"/>
  <c r="B523" i="2"/>
  <c r="P522" i="2"/>
  <c r="N522" i="2"/>
  <c r="L522" i="2"/>
  <c r="O522" i="2" s="1"/>
  <c r="U522" i="2" s="1"/>
  <c r="V522" i="2" s="1"/>
  <c r="J522" i="2"/>
  <c r="I522" i="2"/>
  <c r="H522" i="2"/>
  <c r="F522" i="2"/>
  <c r="B522" i="2"/>
  <c r="P521" i="2"/>
  <c r="L521" i="2"/>
  <c r="I521" i="2"/>
  <c r="J521" i="2" s="1"/>
  <c r="H521" i="2"/>
  <c r="F521" i="2"/>
  <c r="B521" i="2"/>
  <c r="P520" i="2"/>
  <c r="O520" i="2"/>
  <c r="U520" i="2" s="1"/>
  <c r="V520" i="2" s="1"/>
  <c r="N520" i="2"/>
  <c r="L520" i="2"/>
  <c r="J520" i="2"/>
  <c r="I520" i="2"/>
  <c r="H520" i="2"/>
  <c r="F520" i="2"/>
  <c r="B520" i="2"/>
  <c r="P519" i="2"/>
  <c r="O519" i="2"/>
  <c r="U519" i="2" s="1"/>
  <c r="V519" i="2" s="1"/>
  <c r="L519" i="2"/>
  <c r="N519" i="2" s="1"/>
  <c r="I519" i="2"/>
  <c r="J519" i="2" s="1"/>
  <c r="H519" i="2"/>
  <c r="F519" i="2"/>
  <c r="B519" i="2"/>
  <c r="P518" i="2"/>
  <c r="N518" i="2"/>
  <c r="L518" i="2"/>
  <c r="O518" i="2" s="1"/>
  <c r="U518" i="2" s="1"/>
  <c r="V518" i="2" s="1"/>
  <c r="J518" i="2"/>
  <c r="I518" i="2"/>
  <c r="H518" i="2"/>
  <c r="F518" i="2"/>
  <c r="B518" i="2"/>
  <c r="P517" i="2"/>
  <c r="L517" i="2"/>
  <c r="I517" i="2"/>
  <c r="J517" i="2" s="1"/>
  <c r="H517" i="2"/>
  <c r="F517" i="2"/>
  <c r="B517" i="2"/>
  <c r="P516" i="2"/>
  <c r="O516" i="2"/>
  <c r="U516" i="2" s="1"/>
  <c r="V516" i="2" s="1"/>
  <c r="N516" i="2"/>
  <c r="L516" i="2"/>
  <c r="J516" i="2"/>
  <c r="I516" i="2"/>
  <c r="H516" i="2"/>
  <c r="F516" i="2"/>
  <c r="B516" i="2"/>
  <c r="P515" i="2"/>
  <c r="O515" i="2"/>
  <c r="U515" i="2" s="1"/>
  <c r="V515" i="2" s="1"/>
  <c r="L515" i="2"/>
  <c r="N515" i="2" s="1"/>
  <c r="I515" i="2"/>
  <c r="J515" i="2" s="1"/>
  <c r="H515" i="2"/>
  <c r="F515" i="2"/>
  <c r="B515" i="2"/>
  <c r="P514" i="2"/>
  <c r="N514" i="2"/>
  <c r="L514" i="2"/>
  <c r="O514" i="2" s="1"/>
  <c r="U514" i="2" s="1"/>
  <c r="V514" i="2" s="1"/>
  <c r="J514" i="2"/>
  <c r="I514" i="2"/>
  <c r="H514" i="2"/>
  <c r="F514" i="2"/>
  <c r="B514" i="2"/>
  <c r="P513" i="2"/>
  <c r="L513" i="2"/>
  <c r="I513" i="2"/>
  <c r="J513" i="2" s="1"/>
  <c r="H513" i="2"/>
  <c r="F513" i="2"/>
  <c r="B513" i="2"/>
  <c r="P512" i="2"/>
  <c r="O512" i="2"/>
  <c r="U512" i="2" s="1"/>
  <c r="V512" i="2" s="1"/>
  <c r="N512" i="2"/>
  <c r="L512" i="2"/>
  <c r="J512" i="2"/>
  <c r="I512" i="2"/>
  <c r="H512" i="2"/>
  <c r="F512" i="2"/>
  <c r="B512" i="2"/>
  <c r="P511" i="2"/>
  <c r="O511" i="2"/>
  <c r="U511" i="2" s="1"/>
  <c r="V511" i="2" s="1"/>
  <c r="L511" i="2"/>
  <c r="N511" i="2" s="1"/>
  <c r="I511" i="2"/>
  <c r="J511" i="2" s="1"/>
  <c r="H511" i="2"/>
  <c r="F511" i="2"/>
  <c r="B511" i="2"/>
  <c r="P510" i="2"/>
  <c r="N510" i="2"/>
  <c r="L510" i="2"/>
  <c r="O510" i="2" s="1"/>
  <c r="U510" i="2" s="1"/>
  <c r="V510" i="2" s="1"/>
  <c r="J510" i="2"/>
  <c r="I510" i="2"/>
  <c r="H510" i="2"/>
  <c r="F510" i="2"/>
  <c r="B510" i="2"/>
  <c r="P509" i="2"/>
  <c r="L509" i="2"/>
  <c r="I509" i="2"/>
  <c r="J509" i="2" s="1"/>
  <c r="H509" i="2"/>
  <c r="F509" i="2"/>
  <c r="B509" i="2"/>
  <c r="P508" i="2"/>
  <c r="O508" i="2"/>
  <c r="U508" i="2" s="1"/>
  <c r="V508" i="2" s="1"/>
  <c r="N508" i="2"/>
  <c r="L508" i="2"/>
  <c r="J508" i="2"/>
  <c r="I508" i="2"/>
  <c r="H508" i="2"/>
  <c r="F508" i="2"/>
  <c r="B508" i="2"/>
  <c r="P507" i="2"/>
  <c r="O507" i="2"/>
  <c r="U507" i="2" s="1"/>
  <c r="V507" i="2" s="1"/>
  <c r="L507" i="2"/>
  <c r="N507" i="2" s="1"/>
  <c r="I507" i="2"/>
  <c r="J507" i="2" s="1"/>
  <c r="H507" i="2"/>
  <c r="F507" i="2"/>
  <c r="B507" i="2"/>
  <c r="P506" i="2"/>
  <c r="N506" i="2"/>
  <c r="L506" i="2"/>
  <c r="O506" i="2" s="1"/>
  <c r="U506" i="2" s="1"/>
  <c r="V506" i="2" s="1"/>
  <c r="J506" i="2"/>
  <c r="I506" i="2"/>
  <c r="H506" i="2"/>
  <c r="F506" i="2"/>
  <c r="B506" i="2"/>
  <c r="P505" i="2"/>
  <c r="L505" i="2"/>
  <c r="I505" i="2"/>
  <c r="J505" i="2" s="1"/>
  <c r="H505" i="2"/>
  <c r="F505" i="2"/>
  <c r="B505" i="2"/>
  <c r="P504" i="2"/>
  <c r="O504" i="2"/>
  <c r="U504" i="2" s="1"/>
  <c r="V504" i="2" s="1"/>
  <c r="N504" i="2"/>
  <c r="L504" i="2"/>
  <c r="J504" i="2"/>
  <c r="I504" i="2"/>
  <c r="H504" i="2"/>
  <c r="F504" i="2"/>
  <c r="B504" i="2"/>
  <c r="P503" i="2"/>
  <c r="O503" i="2"/>
  <c r="U503" i="2" s="1"/>
  <c r="V503" i="2" s="1"/>
  <c r="L503" i="2"/>
  <c r="N503" i="2" s="1"/>
  <c r="I503" i="2"/>
  <c r="J503" i="2" s="1"/>
  <c r="H503" i="2"/>
  <c r="F503" i="2"/>
  <c r="B503" i="2"/>
  <c r="P502" i="2"/>
  <c r="N502" i="2"/>
  <c r="L502" i="2"/>
  <c r="O502" i="2" s="1"/>
  <c r="U502" i="2" s="1"/>
  <c r="V502" i="2" s="1"/>
  <c r="J502" i="2"/>
  <c r="I502" i="2"/>
  <c r="H502" i="2"/>
  <c r="F502" i="2"/>
  <c r="B502" i="2"/>
  <c r="P501" i="2"/>
  <c r="L501" i="2"/>
  <c r="I501" i="2"/>
  <c r="J501" i="2" s="1"/>
  <c r="H501" i="2"/>
  <c r="F501" i="2"/>
  <c r="B501" i="2"/>
  <c r="P500" i="2"/>
  <c r="O500" i="2"/>
  <c r="U500" i="2" s="1"/>
  <c r="V500" i="2" s="1"/>
  <c r="N500" i="2"/>
  <c r="L500" i="2"/>
  <c r="J500" i="2"/>
  <c r="I500" i="2"/>
  <c r="H500" i="2"/>
  <c r="F500" i="2"/>
  <c r="B500" i="2"/>
  <c r="P499" i="2"/>
  <c r="O499" i="2"/>
  <c r="U499" i="2" s="1"/>
  <c r="V499" i="2" s="1"/>
  <c r="L499" i="2"/>
  <c r="N499" i="2" s="1"/>
  <c r="I499" i="2"/>
  <c r="J499" i="2" s="1"/>
  <c r="H499" i="2"/>
  <c r="F499" i="2"/>
  <c r="B499" i="2"/>
  <c r="P498" i="2"/>
  <c r="N498" i="2"/>
  <c r="L498" i="2"/>
  <c r="O498" i="2" s="1"/>
  <c r="U498" i="2" s="1"/>
  <c r="V498" i="2" s="1"/>
  <c r="J498" i="2"/>
  <c r="I498" i="2"/>
  <c r="H498" i="2"/>
  <c r="F498" i="2"/>
  <c r="B498" i="2"/>
  <c r="P497" i="2"/>
  <c r="L497" i="2"/>
  <c r="I497" i="2"/>
  <c r="J497" i="2" s="1"/>
  <c r="H497" i="2"/>
  <c r="F497" i="2"/>
  <c r="B497" i="2"/>
  <c r="P496" i="2"/>
  <c r="O496" i="2"/>
  <c r="U496" i="2" s="1"/>
  <c r="V496" i="2" s="1"/>
  <c r="N496" i="2"/>
  <c r="L496" i="2"/>
  <c r="J496" i="2"/>
  <c r="I496" i="2"/>
  <c r="H496" i="2"/>
  <c r="F496" i="2"/>
  <c r="B496" i="2"/>
  <c r="P495" i="2"/>
  <c r="O495" i="2"/>
  <c r="U495" i="2" s="1"/>
  <c r="V495" i="2" s="1"/>
  <c r="L495" i="2"/>
  <c r="N495" i="2" s="1"/>
  <c r="I495" i="2"/>
  <c r="J495" i="2" s="1"/>
  <c r="H495" i="2"/>
  <c r="F495" i="2"/>
  <c r="B495" i="2"/>
  <c r="P494" i="2"/>
  <c r="N494" i="2"/>
  <c r="L494" i="2"/>
  <c r="O494" i="2" s="1"/>
  <c r="U494" i="2" s="1"/>
  <c r="V494" i="2" s="1"/>
  <c r="J494" i="2"/>
  <c r="I494" i="2"/>
  <c r="H494" i="2"/>
  <c r="F494" i="2"/>
  <c r="B494" i="2"/>
  <c r="P493" i="2"/>
  <c r="L493" i="2"/>
  <c r="I493" i="2"/>
  <c r="J493" i="2" s="1"/>
  <c r="H493" i="2"/>
  <c r="F493" i="2"/>
  <c r="B493" i="2"/>
  <c r="P492" i="2"/>
  <c r="O492" i="2"/>
  <c r="U492" i="2" s="1"/>
  <c r="V492" i="2" s="1"/>
  <c r="N492" i="2"/>
  <c r="L492" i="2"/>
  <c r="J492" i="2"/>
  <c r="I492" i="2"/>
  <c r="H492" i="2"/>
  <c r="F492" i="2"/>
  <c r="B492" i="2"/>
  <c r="P491" i="2"/>
  <c r="O491" i="2"/>
  <c r="U491" i="2" s="1"/>
  <c r="V491" i="2" s="1"/>
  <c r="L491" i="2"/>
  <c r="N491" i="2" s="1"/>
  <c r="I491" i="2"/>
  <c r="J491" i="2" s="1"/>
  <c r="H491" i="2"/>
  <c r="F491" i="2"/>
  <c r="B491" i="2"/>
  <c r="P490" i="2"/>
  <c r="N490" i="2"/>
  <c r="L490" i="2"/>
  <c r="O490" i="2" s="1"/>
  <c r="U490" i="2" s="1"/>
  <c r="V490" i="2" s="1"/>
  <c r="J490" i="2"/>
  <c r="I490" i="2"/>
  <c r="H490" i="2"/>
  <c r="F490" i="2"/>
  <c r="B490" i="2"/>
  <c r="P489" i="2"/>
  <c r="L489" i="2"/>
  <c r="I489" i="2"/>
  <c r="J489" i="2" s="1"/>
  <c r="H489" i="2"/>
  <c r="F489" i="2"/>
  <c r="B489" i="2"/>
  <c r="P488" i="2"/>
  <c r="O488" i="2"/>
  <c r="U488" i="2" s="1"/>
  <c r="V488" i="2" s="1"/>
  <c r="N488" i="2"/>
  <c r="L488" i="2"/>
  <c r="J488" i="2"/>
  <c r="I488" i="2"/>
  <c r="H488" i="2"/>
  <c r="F488" i="2"/>
  <c r="B488" i="2"/>
  <c r="P487" i="2"/>
  <c r="O487" i="2"/>
  <c r="U487" i="2" s="1"/>
  <c r="V487" i="2" s="1"/>
  <c r="L487" i="2"/>
  <c r="N487" i="2" s="1"/>
  <c r="I487" i="2"/>
  <c r="J487" i="2" s="1"/>
  <c r="H487" i="2"/>
  <c r="F487" i="2"/>
  <c r="B487" i="2"/>
  <c r="P486" i="2"/>
  <c r="N486" i="2"/>
  <c r="L486" i="2"/>
  <c r="O486" i="2" s="1"/>
  <c r="U486" i="2" s="1"/>
  <c r="V486" i="2" s="1"/>
  <c r="J486" i="2"/>
  <c r="I486" i="2"/>
  <c r="H486" i="2"/>
  <c r="F486" i="2"/>
  <c r="B486" i="2"/>
  <c r="P485" i="2"/>
  <c r="L485" i="2"/>
  <c r="I485" i="2"/>
  <c r="J485" i="2" s="1"/>
  <c r="H485" i="2"/>
  <c r="F485" i="2"/>
  <c r="B485" i="2"/>
  <c r="P484" i="2"/>
  <c r="O484" i="2"/>
  <c r="U484" i="2" s="1"/>
  <c r="V484" i="2" s="1"/>
  <c r="N484" i="2"/>
  <c r="L484" i="2"/>
  <c r="J484" i="2"/>
  <c r="I484" i="2"/>
  <c r="H484" i="2"/>
  <c r="F484" i="2"/>
  <c r="B484" i="2"/>
  <c r="P483" i="2"/>
  <c r="O483" i="2"/>
  <c r="U483" i="2" s="1"/>
  <c r="V483" i="2" s="1"/>
  <c r="L483" i="2"/>
  <c r="N483" i="2" s="1"/>
  <c r="I483" i="2"/>
  <c r="J483" i="2" s="1"/>
  <c r="H483" i="2"/>
  <c r="F483" i="2"/>
  <c r="B483" i="2"/>
  <c r="P482" i="2"/>
  <c r="N482" i="2"/>
  <c r="L482" i="2"/>
  <c r="O482" i="2" s="1"/>
  <c r="U482" i="2" s="1"/>
  <c r="V482" i="2" s="1"/>
  <c r="J482" i="2"/>
  <c r="I482" i="2"/>
  <c r="H482" i="2"/>
  <c r="F482" i="2"/>
  <c r="B482" i="2"/>
  <c r="P481" i="2"/>
  <c r="L481" i="2"/>
  <c r="I481" i="2"/>
  <c r="J481" i="2" s="1"/>
  <c r="H481" i="2"/>
  <c r="F481" i="2"/>
  <c r="B481" i="2"/>
  <c r="P480" i="2"/>
  <c r="O480" i="2"/>
  <c r="U480" i="2" s="1"/>
  <c r="V480" i="2" s="1"/>
  <c r="N480" i="2"/>
  <c r="L480" i="2"/>
  <c r="J480" i="2"/>
  <c r="I480" i="2"/>
  <c r="H480" i="2"/>
  <c r="F480" i="2"/>
  <c r="B480" i="2"/>
  <c r="P479" i="2"/>
  <c r="O479" i="2"/>
  <c r="U479" i="2" s="1"/>
  <c r="V479" i="2" s="1"/>
  <c r="L479" i="2"/>
  <c r="N479" i="2" s="1"/>
  <c r="I479" i="2"/>
  <c r="J479" i="2" s="1"/>
  <c r="H479" i="2"/>
  <c r="F479" i="2"/>
  <c r="B479" i="2"/>
  <c r="P478" i="2"/>
  <c r="N478" i="2"/>
  <c r="L478" i="2"/>
  <c r="O478" i="2" s="1"/>
  <c r="U478" i="2" s="1"/>
  <c r="V478" i="2" s="1"/>
  <c r="J478" i="2"/>
  <c r="I478" i="2"/>
  <c r="H478" i="2"/>
  <c r="F478" i="2"/>
  <c r="B478" i="2"/>
  <c r="P477" i="2"/>
  <c r="L477" i="2"/>
  <c r="I477" i="2"/>
  <c r="J477" i="2" s="1"/>
  <c r="H477" i="2"/>
  <c r="F477" i="2"/>
  <c r="B477" i="2"/>
  <c r="P476" i="2"/>
  <c r="O476" i="2"/>
  <c r="U476" i="2" s="1"/>
  <c r="V476" i="2" s="1"/>
  <c r="N476" i="2"/>
  <c r="L476" i="2"/>
  <c r="J476" i="2"/>
  <c r="I476" i="2"/>
  <c r="H476" i="2"/>
  <c r="F476" i="2"/>
  <c r="B476" i="2"/>
  <c r="P475" i="2"/>
  <c r="O475" i="2"/>
  <c r="U475" i="2" s="1"/>
  <c r="V475" i="2" s="1"/>
  <c r="L475" i="2"/>
  <c r="N475" i="2" s="1"/>
  <c r="I475" i="2"/>
  <c r="J475" i="2" s="1"/>
  <c r="H475" i="2"/>
  <c r="F475" i="2"/>
  <c r="B475" i="2"/>
  <c r="P474" i="2"/>
  <c r="N474" i="2"/>
  <c r="L474" i="2"/>
  <c r="O474" i="2" s="1"/>
  <c r="U474" i="2" s="1"/>
  <c r="V474" i="2" s="1"/>
  <c r="J474" i="2"/>
  <c r="I474" i="2"/>
  <c r="H474" i="2"/>
  <c r="F474" i="2"/>
  <c r="B474" i="2"/>
  <c r="P473" i="2"/>
  <c r="L473" i="2"/>
  <c r="I473" i="2"/>
  <c r="J473" i="2" s="1"/>
  <c r="H473" i="2"/>
  <c r="F473" i="2"/>
  <c r="B473" i="2"/>
  <c r="P472" i="2"/>
  <c r="O472" i="2"/>
  <c r="U472" i="2" s="1"/>
  <c r="V472" i="2" s="1"/>
  <c r="N472" i="2"/>
  <c r="L472" i="2"/>
  <c r="J472" i="2"/>
  <c r="I472" i="2"/>
  <c r="H472" i="2"/>
  <c r="F472" i="2"/>
  <c r="B472" i="2"/>
  <c r="P471" i="2"/>
  <c r="O471" i="2"/>
  <c r="U471" i="2" s="1"/>
  <c r="V471" i="2" s="1"/>
  <c r="L471" i="2"/>
  <c r="N471" i="2" s="1"/>
  <c r="I471" i="2"/>
  <c r="J471" i="2" s="1"/>
  <c r="H471" i="2"/>
  <c r="F471" i="2"/>
  <c r="B471" i="2"/>
  <c r="P470" i="2"/>
  <c r="N470" i="2"/>
  <c r="L470" i="2"/>
  <c r="O470" i="2" s="1"/>
  <c r="U470" i="2" s="1"/>
  <c r="V470" i="2" s="1"/>
  <c r="J470" i="2"/>
  <c r="I470" i="2"/>
  <c r="H470" i="2"/>
  <c r="F470" i="2"/>
  <c r="B470" i="2"/>
  <c r="P469" i="2"/>
  <c r="L469" i="2"/>
  <c r="I469" i="2"/>
  <c r="J469" i="2" s="1"/>
  <c r="H469" i="2"/>
  <c r="F469" i="2"/>
  <c r="B469" i="2"/>
  <c r="P468" i="2"/>
  <c r="O468" i="2"/>
  <c r="U468" i="2" s="1"/>
  <c r="V468" i="2" s="1"/>
  <c r="N468" i="2"/>
  <c r="L468" i="2"/>
  <c r="J468" i="2"/>
  <c r="I468" i="2"/>
  <c r="H468" i="2"/>
  <c r="F468" i="2"/>
  <c r="B468" i="2"/>
  <c r="P467" i="2"/>
  <c r="O467" i="2"/>
  <c r="U467" i="2" s="1"/>
  <c r="V467" i="2" s="1"/>
  <c r="L467" i="2"/>
  <c r="N467" i="2" s="1"/>
  <c r="I467" i="2"/>
  <c r="J467" i="2" s="1"/>
  <c r="H467" i="2"/>
  <c r="F467" i="2"/>
  <c r="B467" i="2"/>
  <c r="P466" i="2"/>
  <c r="N466" i="2"/>
  <c r="L466" i="2"/>
  <c r="O466" i="2" s="1"/>
  <c r="U466" i="2" s="1"/>
  <c r="V466" i="2" s="1"/>
  <c r="J466" i="2"/>
  <c r="I466" i="2"/>
  <c r="H466" i="2"/>
  <c r="F466" i="2"/>
  <c r="B466" i="2"/>
  <c r="P465" i="2"/>
  <c r="L465" i="2"/>
  <c r="I465" i="2"/>
  <c r="J465" i="2" s="1"/>
  <c r="H465" i="2"/>
  <c r="F465" i="2"/>
  <c r="B465" i="2"/>
  <c r="P464" i="2"/>
  <c r="O464" i="2"/>
  <c r="U464" i="2" s="1"/>
  <c r="V464" i="2" s="1"/>
  <c r="N464" i="2"/>
  <c r="L464" i="2"/>
  <c r="J464" i="2"/>
  <c r="I464" i="2"/>
  <c r="H464" i="2"/>
  <c r="F464" i="2"/>
  <c r="B464" i="2"/>
  <c r="P463" i="2"/>
  <c r="O463" i="2"/>
  <c r="U463" i="2" s="1"/>
  <c r="V463" i="2" s="1"/>
  <c r="L463" i="2"/>
  <c r="N463" i="2" s="1"/>
  <c r="I463" i="2"/>
  <c r="J463" i="2" s="1"/>
  <c r="H463" i="2"/>
  <c r="F463" i="2"/>
  <c r="B463" i="2"/>
  <c r="P462" i="2"/>
  <c r="N462" i="2"/>
  <c r="L462" i="2"/>
  <c r="O462" i="2" s="1"/>
  <c r="U462" i="2" s="1"/>
  <c r="V462" i="2" s="1"/>
  <c r="J462" i="2"/>
  <c r="I462" i="2"/>
  <c r="H462" i="2"/>
  <c r="F462" i="2"/>
  <c r="B462" i="2"/>
  <c r="P461" i="2"/>
  <c r="L461" i="2"/>
  <c r="I461" i="2"/>
  <c r="J461" i="2" s="1"/>
  <c r="H461" i="2"/>
  <c r="F461" i="2"/>
  <c r="B461" i="2"/>
  <c r="P460" i="2"/>
  <c r="O460" i="2"/>
  <c r="U460" i="2" s="1"/>
  <c r="V460" i="2" s="1"/>
  <c r="N460" i="2"/>
  <c r="L460" i="2"/>
  <c r="J460" i="2"/>
  <c r="I460" i="2"/>
  <c r="H460" i="2"/>
  <c r="F460" i="2"/>
  <c r="B460" i="2"/>
  <c r="P459" i="2"/>
  <c r="O459" i="2"/>
  <c r="U459" i="2" s="1"/>
  <c r="V459" i="2" s="1"/>
  <c r="L459" i="2"/>
  <c r="N459" i="2" s="1"/>
  <c r="I459" i="2"/>
  <c r="J459" i="2" s="1"/>
  <c r="H459" i="2"/>
  <c r="F459" i="2"/>
  <c r="B459" i="2"/>
  <c r="P458" i="2"/>
  <c r="N458" i="2"/>
  <c r="L458" i="2"/>
  <c r="O458" i="2" s="1"/>
  <c r="U458" i="2" s="1"/>
  <c r="V458" i="2" s="1"/>
  <c r="J458" i="2"/>
  <c r="I458" i="2"/>
  <c r="H458" i="2"/>
  <c r="F458" i="2"/>
  <c r="B458" i="2"/>
  <c r="P457" i="2"/>
  <c r="L457" i="2"/>
  <c r="I457" i="2"/>
  <c r="J457" i="2" s="1"/>
  <c r="H457" i="2"/>
  <c r="F457" i="2"/>
  <c r="B457" i="2"/>
  <c r="P456" i="2"/>
  <c r="O456" i="2"/>
  <c r="U456" i="2" s="1"/>
  <c r="V456" i="2" s="1"/>
  <c r="N456" i="2"/>
  <c r="L456" i="2"/>
  <c r="J456" i="2"/>
  <c r="I456" i="2"/>
  <c r="H456" i="2"/>
  <c r="F456" i="2"/>
  <c r="B456" i="2"/>
  <c r="P455" i="2"/>
  <c r="O455" i="2"/>
  <c r="U455" i="2" s="1"/>
  <c r="V455" i="2" s="1"/>
  <c r="L455" i="2"/>
  <c r="N455" i="2" s="1"/>
  <c r="I455" i="2"/>
  <c r="J455" i="2" s="1"/>
  <c r="H455" i="2"/>
  <c r="F455" i="2"/>
  <c r="B455" i="2"/>
  <c r="P454" i="2"/>
  <c r="N454" i="2"/>
  <c r="L454" i="2"/>
  <c r="O454" i="2" s="1"/>
  <c r="U454" i="2" s="1"/>
  <c r="V454" i="2" s="1"/>
  <c r="J454" i="2"/>
  <c r="I454" i="2"/>
  <c r="H454" i="2"/>
  <c r="F454" i="2"/>
  <c r="B454" i="2"/>
  <c r="P453" i="2"/>
  <c r="L453" i="2"/>
  <c r="I453" i="2"/>
  <c r="J453" i="2" s="1"/>
  <c r="H453" i="2"/>
  <c r="F453" i="2"/>
  <c r="B453" i="2"/>
  <c r="P452" i="2"/>
  <c r="O452" i="2"/>
  <c r="U452" i="2" s="1"/>
  <c r="V452" i="2" s="1"/>
  <c r="N452" i="2"/>
  <c r="L452" i="2"/>
  <c r="J452" i="2"/>
  <c r="I452" i="2"/>
  <c r="H452" i="2"/>
  <c r="F452" i="2"/>
  <c r="B452" i="2"/>
  <c r="P451" i="2"/>
  <c r="O451" i="2"/>
  <c r="U451" i="2" s="1"/>
  <c r="V451" i="2" s="1"/>
  <c r="L451" i="2"/>
  <c r="N451" i="2" s="1"/>
  <c r="I451" i="2"/>
  <c r="J451" i="2" s="1"/>
  <c r="H451" i="2"/>
  <c r="F451" i="2"/>
  <c r="B451" i="2"/>
  <c r="P450" i="2"/>
  <c r="N450" i="2"/>
  <c r="L450" i="2"/>
  <c r="O450" i="2" s="1"/>
  <c r="U450" i="2" s="1"/>
  <c r="V450" i="2" s="1"/>
  <c r="J450" i="2"/>
  <c r="I450" i="2"/>
  <c r="H450" i="2"/>
  <c r="F450" i="2"/>
  <c r="B450" i="2"/>
  <c r="P449" i="2"/>
  <c r="L449" i="2"/>
  <c r="I449" i="2"/>
  <c r="J449" i="2" s="1"/>
  <c r="H449" i="2"/>
  <c r="F449" i="2"/>
  <c r="B449" i="2"/>
  <c r="P448" i="2"/>
  <c r="O448" i="2"/>
  <c r="U448" i="2" s="1"/>
  <c r="V448" i="2" s="1"/>
  <c r="N448" i="2"/>
  <c r="L448" i="2"/>
  <c r="J448" i="2"/>
  <c r="I448" i="2"/>
  <c r="H448" i="2"/>
  <c r="F448" i="2"/>
  <c r="B448" i="2"/>
  <c r="P447" i="2"/>
  <c r="O447" i="2"/>
  <c r="U447" i="2" s="1"/>
  <c r="V447" i="2" s="1"/>
  <c r="L447" i="2"/>
  <c r="N447" i="2" s="1"/>
  <c r="I447" i="2"/>
  <c r="J447" i="2" s="1"/>
  <c r="H447" i="2"/>
  <c r="F447" i="2"/>
  <c r="B447" i="2"/>
  <c r="P446" i="2"/>
  <c r="N446" i="2"/>
  <c r="L446" i="2"/>
  <c r="O446" i="2" s="1"/>
  <c r="U446" i="2" s="1"/>
  <c r="V446" i="2" s="1"/>
  <c r="J446" i="2"/>
  <c r="I446" i="2"/>
  <c r="H446" i="2"/>
  <c r="F446" i="2"/>
  <c r="B446" i="2"/>
  <c r="P445" i="2"/>
  <c r="L445" i="2"/>
  <c r="I445" i="2"/>
  <c r="J445" i="2" s="1"/>
  <c r="H445" i="2"/>
  <c r="F445" i="2"/>
  <c r="B445" i="2"/>
  <c r="P444" i="2"/>
  <c r="O444" i="2"/>
  <c r="U444" i="2" s="1"/>
  <c r="V444" i="2" s="1"/>
  <c r="N444" i="2"/>
  <c r="L444" i="2"/>
  <c r="J444" i="2"/>
  <c r="I444" i="2"/>
  <c r="H444" i="2"/>
  <c r="F444" i="2"/>
  <c r="B444" i="2"/>
  <c r="P443" i="2"/>
  <c r="O443" i="2"/>
  <c r="U443" i="2" s="1"/>
  <c r="V443" i="2" s="1"/>
  <c r="L443" i="2"/>
  <c r="N443" i="2" s="1"/>
  <c r="I443" i="2"/>
  <c r="J443" i="2" s="1"/>
  <c r="H443" i="2"/>
  <c r="F443" i="2"/>
  <c r="B443" i="2"/>
  <c r="P442" i="2"/>
  <c r="N442" i="2"/>
  <c r="L442" i="2"/>
  <c r="O442" i="2" s="1"/>
  <c r="U442" i="2" s="1"/>
  <c r="V442" i="2" s="1"/>
  <c r="J442" i="2"/>
  <c r="I442" i="2"/>
  <c r="H442" i="2"/>
  <c r="F442" i="2"/>
  <c r="B442" i="2"/>
  <c r="P441" i="2"/>
  <c r="L441" i="2"/>
  <c r="I441" i="2"/>
  <c r="J441" i="2" s="1"/>
  <c r="H441" i="2"/>
  <c r="F441" i="2"/>
  <c r="B441" i="2"/>
  <c r="P440" i="2"/>
  <c r="O440" i="2"/>
  <c r="U440" i="2" s="1"/>
  <c r="V440" i="2" s="1"/>
  <c r="N440" i="2"/>
  <c r="L440" i="2"/>
  <c r="J440" i="2"/>
  <c r="I440" i="2"/>
  <c r="H440" i="2"/>
  <c r="F440" i="2"/>
  <c r="B440" i="2"/>
  <c r="P439" i="2"/>
  <c r="L439" i="2"/>
  <c r="N439" i="2" s="1"/>
  <c r="I439" i="2"/>
  <c r="J439" i="2" s="1"/>
  <c r="H439" i="2"/>
  <c r="F439" i="2"/>
  <c r="B439" i="2"/>
  <c r="P438" i="2"/>
  <c r="N438" i="2"/>
  <c r="L438" i="2"/>
  <c r="O438" i="2" s="1"/>
  <c r="U438" i="2" s="1"/>
  <c r="V438" i="2" s="1"/>
  <c r="J438" i="2"/>
  <c r="I438" i="2"/>
  <c r="H438" i="2"/>
  <c r="F438" i="2"/>
  <c r="B438" i="2"/>
  <c r="P437" i="2"/>
  <c r="L437" i="2"/>
  <c r="I437" i="2"/>
  <c r="J437" i="2" s="1"/>
  <c r="H437" i="2"/>
  <c r="F437" i="2"/>
  <c r="B437" i="2"/>
  <c r="P436" i="2"/>
  <c r="O436" i="2"/>
  <c r="U436" i="2" s="1"/>
  <c r="V436" i="2" s="1"/>
  <c r="N436" i="2"/>
  <c r="L436" i="2"/>
  <c r="J436" i="2"/>
  <c r="I436" i="2"/>
  <c r="H436" i="2"/>
  <c r="F436" i="2"/>
  <c r="B436" i="2"/>
  <c r="P435" i="2"/>
  <c r="O435" i="2"/>
  <c r="U435" i="2" s="1"/>
  <c r="V435" i="2" s="1"/>
  <c r="L435" i="2"/>
  <c r="N435" i="2" s="1"/>
  <c r="I435" i="2"/>
  <c r="J435" i="2" s="1"/>
  <c r="H435" i="2"/>
  <c r="F435" i="2"/>
  <c r="B435" i="2"/>
  <c r="P434" i="2"/>
  <c r="N434" i="2"/>
  <c r="L434" i="2"/>
  <c r="O434" i="2" s="1"/>
  <c r="U434" i="2" s="1"/>
  <c r="V434" i="2" s="1"/>
  <c r="J434" i="2"/>
  <c r="I434" i="2"/>
  <c r="H434" i="2"/>
  <c r="F434" i="2"/>
  <c r="B434" i="2"/>
  <c r="P433" i="2"/>
  <c r="L433" i="2"/>
  <c r="N433" i="2" s="1"/>
  <c r="I433" i="2"/>
  <c r="J433" i="2" s="1"/>
  <c r="H433" i="2"/>
  <c r="F433" i="2"/>
  <c r="B433" i="2"/>
  <c r="P432" i="2"/>
  <c r="O432" i="2"/>
  <c r="U432" i="2" s="1"/>
  <c r="V432" i="2" s="1"/>
  <c r="N432" i="2"/>
  <c r="L432" i="2"/>
  <c r="J432" i="2"/>
  <c r="I432" i="2"/>
  <c r="H432" i="2"/>
  <c r="F432" i="2"/>
  <c r="B432" i="2"/>
  <c r="P431" i="2"/>
  <c r="O431" i="2"/>
  <c r="U431" i="2" s="1"/>
  <c r="V431" i="2" s="1"/>
  <c r="L431" i="2"/>
  <c r="N431" i="2" s="1"/>
  <c r="I431" i="2"/>
  <c r="J431" i="2" s="1"/>
  <c r="H431" i="2"/>
  <c r="F431" i="2"/>
  <c r="B431" i="2"/>
  <c r="P430" i="2"/>
  <c r="N430" i="2"/>
  <c r="L430" i="2"/>
  <c r="O430" i="2" s="1"/>
  <c r="U430" i="2" s="1"/>
  <c r="V430" i="2" s="1"/>
  <c r="J430" i="2"/>
  <c r="I430" i="2"/>
  <c r="H430" i="2"/>
  <c r="F430" i="2"/>
  <c r="B430" i="2"/>
  <c r="P429" i="2"/>
  <c r="O429" i="2"/>
  <c r="U429" i="2" s="1"/>
  <c r="V429" i="2" s="1"/>
  <c r="L429" i="2"/>
  <c r="N429" i="2" s="1"/>
  <c r="I429" i="2"/>
  <c r="J429" i="2" s="1"/>
  <c r="H429" i="2"/>
  <c r="F429" i="2"/>
  <c r="B429" i="2"/>
  <c r="P428" i="2"/>
  <c r="O428" i="2"/>
  <c r="U428" i="2" s="1"/>
  <c r="V428" i="2" s="1"/>
  <c r="N428" i="2"/>
  <c r="L428" i="2"/>
  <c r="J428" i="2"/>
  <c r="I428" i="2"/>
  <c r="H428" i="2"/>
  <c r="F428" i="2"/>
  <c r="B428" i="2"/>
  <c r="P427" i="2"/>
  <c r="L427" i="2"/>
  <c r="I427" i="2"/>
  <c r="J427" i="2" s="1"/>
  <c r="H427" i="2"/>
  <c r="F427" i="2"/>
  <c r="B427" i="2"/>
  <c r="P426" i="2"/>
  <c r="N426" i="2"/>
  <c r="L426" i="2"/>
  <c r="O426" i="2" s="1"/>
  <c r="U426" i="2" s="1"/>
  <c r="V426" i="2" s="1"/>
  <c r="J426" i="2"/>
  <c r="I426" i="2"/>
  <c r="H426" i="2"/>
  <c r="F426" i="2"/>
  <c r="B426" i="2"/>
  <c r="P425" i="2"/>
  <c r="O425" i="2"/>
  <c r="U425" i="2" s="1"/>
  <c r="V425" i="2" s="1"/>
  <c r="L425" i="2"/>
  <c r="N425" i="2" s="1"/>
  <c r="I425" i="2"/>
  <c r="J425" i="2" s="1"/>
  <c r="H425" i="2"/>
  <c r="F425" i="2"/>
  <c r="B425" i="2"/>
  <c r="P424" i="2"/>
  <c r="O424" i="2"/>
  <c r="U424" i="2" s="1"/>
  <c r="V424" i="2" s="1"/>
  <c r="N424" i="2"/>
  <c r="L424" i="2"/>
  <c r="J424" i="2"/>
  <c r="I424" i="2"/>
  <c r="H424" i="2"/>
  <c r="F424" i="2"/>
  <c r="B424" i="2"/>
  <c r="P423" i="2"/>
  <c r="L423" i="2"/>
  <c r="N423" i="2" s="1"/>
  <c r="I423" i="2"/>
  <c r="J423" i="2" s="1"/>
  <c r="H423" i="2"/>
  <c r="F423" i="2"/>
  <c r="B423" i="2"/>
  <c r="P422" i="2"/>
  <c r="N422" i="2"/>
  <c r="L422" i="2"/>
  <c r="O422" i="2" s="1"/>
  <c r="U422" i="2" s="1"/>
  <c r="V422" i="2" s="1"/>
  <c r="J422" i="2"/>
  <c r="I422" i="2"/>
  <c r="H422" i="2"/>
  <c r="F422" i="2"/>
  <c r="B422" i="2"/>
  <c r="P421" i="2"/>
  <c r="L421" i="2"/>
  <c r="I421" i="2"/>
  <c r="J421" i="2" s="1"/>
  <c r="H421" i="2"/>
  <c r="F421" i="2"/>
  <c r="B421" i="2"/>
  <c r="P420" i="2"/>
  <c r="O420" i="2"/>
  <c r="U420" i="2" s="1"/>
  <c r="V420" i="2" s="1"/>
  <c r="N420" i="2"/>
  <c r="L420" i="2"/>
  <c r="J420" i="2"/>
  <c r="I420" i="2"/>
  <c r="H420" i="2"/>
  <c r="F420" i="2"/>
  <c r="B420" i="2"/>
  <c r="P419" i="2"/>
  <c r="O419" i="2"/>
  <c r="U419" i="2" s="1"/>
  <c r="V419" i="2" s="1"/>
  <c r="L419" i="2"/>
  <c r="N419" i="2" s="1"/>
  <c r="I419" i="2"/>
  <c r="J419" i="2" s="1"/>
  <c r="H419" i="2"/>
  <c r="F419" i="2"/>
  <c r="B419" i="2"/>
  <c r="P418" i="2"/>
  <c r="N418" i="2"/>
  <c r="L418" i="2"/>
  <c r="O418" i="2" s="1"/>
  <c r="U418" i="2" s="1"/>
  <c r="V418" i="2" s="1"/>
  <c r="J418" i="2"/>
  <c r="I418" i="2"/>
  <c r="H418" i="2"/>
  <c r="F418" i="2"/>
  <c r="B418" i="2"/>
  <c r="P417" i="2"/>
  <c r="L417" i="2"/>
  <c r="N417" i="2" s="1"/>
  <c r="I417" i="2"/>
  <c r="J417" i="2" s="1"/>
  <c r="H417" i="2"/>
  <c r="F417" i="2"/>
  <c r="B417" i="2"/>
  <c r="P416" i="2"/>
  <c r="O416" i="2"/>
  <c r="U416" i="2" s="1"/>
  <c r="V416" i="2" s="1"/>
  <c r="N416" i="2"/>
  <c r="L416" i="2"/>
  <c r="J416" i="2"/>
  <c r="I416" i="2"/>
  <c r="H416" i="2"/>
  <c r="F416" i="2"/>
  <c r="B416" i="2"/>
  <c r="P415" i="2"/>
  <c r="O415" i="2"/>
  <c r="U415" i="2" s="1"/>
  <c r="V415" i="2" s="1"/>
  <c r="L415" i="2"/>
  <c r="N415" i="2" s="1"/>
  <c r="I415" i="2"/>
  <c r="J415" i="2" s="1"/>
  <c r="H415" i="2"/>
  <c r="F415" i="2"/>
  <c r="B415" i="2"/>
  <c r="P414" i="2"/>
  <c r="N414" i="2"/>
  <c r="L414" i="2"/>
  <c r="O414" i="2" s="1"/>
  <c r="U414" i="2" s="1"/>
  <c r="V414" i="2" s="1"/>
  <c r="J414" i="2"/>
  <c r="I414" i="2"/>
  <c r="H414" i="2"/>
  <c r="F414" i="2"/>
  <c r="B414" i="2"/>
  <c r="P413" i="2"/>
  <c r="O413" i="2"/>
  <c r="U413" i="2" s="1"/>
  <c r="V413" i="2" s="1"/>
  <c r="L413" i="2"/>
  <c r="N413" i="2" s="1"/>
  <c r="I413" i="2"/>
  <c r="J413" i="2" s="1"/>
  <c r="H413" i="2"/>
  <c r="F413" i="2"/>
  <c r="B413" i="2"/>
  <c r="P412" i="2"/>
  <c r="O412" i="2"/>
  <c r="U412" i="2" s="1"/>
  <c r="V412" i="2" s="1"/>
  <c r="N412" i="2"/>
  <c r="L412" i="2"/>
  <c r="J412" i="2"/>
  <c r="I412" i="2"/>
  <c r="H412" i="2"/>
  <c r="F412" i="2"/>
  <c r="B412" i="2"/>
  <c r="P411" i="2"/>
  <c r="L411" i="2"/>
  <c r="I411" i="2"/>
  <c r="J411" i="2" s="1"/>
  <c r="H411" i="2"/>
  <c r="F411" i="2"/>
  <c r="B411" i="2"/>
  <c r="P410" i="2"/>
  <c r="N410" i="2"/>
  <c r="L410" i="2"/>
  <c r="O410" i="2" s="1"/>
  <c r="U410" i="2" s="1"/>
  <c r="V410" i="2" s="1"/>
  <c r="J410" i="2"/>
  <c r="I410" i="2"/>
  <c r="H410" i="2"/>
  <c r="F410" i="2"/>
  <c r="B410" i="2"/>
  <c r="P409" i="2"/>
  <c r="O409" i="2"/>
  <c r="U409" i="2" s="1"/>
  <c r="V409" i="2" s="1"/>
  <c r="L409" i="2"/>
  <c r="N409" i="2" s="1"/>
  <c r="I409" i="2"/>
  <c r="J409" i="2" s="1"/>
  <c r="H409" i="2"/>
  <c r="F409" i="2"/>
  <c r="B409" i="2"/>
  <c r="P408" i="2"/>
  <c r="O408" i="2"/>
  <c r="U408" i="2" s="1"/>
  <c r="V408" i="2" s="1"/>
  <c r="N408" i="2"/>
  <c r="L408" i="2"/>
  <c r="J408" i="2"/>
  <c r="I408" i="2"/>
  <c r="H408" i="2"/>
  <c r="F408" i="2"/>
  <c r="B408" i="2"/>
  <c r="P407" i="2"/>
  <c r="L407" i="2"/>
  <c r="N407" i="2" s="1"/>
  <c r="I407" i="2"/>
  <c r="J407" i="2" s="1"/>
  <c r="H407" i="2"/>
  <c r="F407" i="2"/>
  <c r="B407" i="2"/>
  <c r="P406" i="2"/>
  <c r="N406" i="2"/>
  <c r="L406" i="2"/>
  <c r="O406" i="2" s="1"/>
  <c r="U406" i="2" s="1"/>
  <c r="V406" i="2" s="1"/>
  <c r="J406" i="2"/>
  <c r="I406" i="2"/>
  <c r="H406" i="2"/>
  <c r="F406" i="2"/>
  <c r="B406" i="2"/>
  <c r="P405" i="2"/>
  <c r="L405" i="2"/>
  <c r="I405" i="2"/>
  <c r="J405" i="2" s="1"/>
  <c r="H405" i="2"/>
  <c r="F405" i="2"/>
  <c r="B405" i="2"/>
  <c r="P404" i="2"/>
  <c r="O404" i="2"/>
  <c r="U404" i="2" s="1"/>
  <c r="V404" i="2" s="1"/>
  <c r="N404" i="2"/>
  <c r="L404" i="2"/>
  <c r="J404" i="2"/>
  <c r="I404" i="2"/>
  <c r="H404" i="2"/>
  <c r="F404" i="2"/>
  <c r="B404" i="2"/>
  <c r="P403" i="2"/>
  <c r="O403" i="2"/>
  <c r="U403" i="2" s="1"/>
  <c r="V403" i="2" s="1"/>
  <c r="L403" i="2"/>
  <c r="N403" i="2" s="1"/>
  <c r="I403" i="2"/>
  <c r="J403" i="2" s="1"/>
  <c r="H403" i="2"/>
  <c r="F403" i="2"/>
  <c r="B403" i="2"/>
  <c r="P402" i="2"/>
  <c r="N402" i="2"/>
  <c r="L402" i="2"/>
  <c r="O402" i="2" s="1"/>
  <c r="U402" i="2" s="1"/>
  <c r="V402" i="2" s="1"/>
  <c r="J402" i="2"/>
  <c r="I402" i="2"/>
  <c r="H402" i="2"/>
  <c r="F402" i="2"/>
  <c r="B402" i="2"/>
  <c r="P401" i="2"/>
  <c r="L401" i="2"/>
  <c r="N401" i="2" s="1"/>
  <c r="I401" i="2"/>
  <c r="J401" i="2" s="1"/>
  <c r="H401" i="2"/>
  <c r="F401" i="2"/>
  <c r="B401" i="2"/>
  <c r="P400" i="2"/>
  <c r="O400" i="2"/>
  <c r="U400" i="2" s="1"/>
  <c r="V400" i="2" s="1"/>
  <c r="N400" i="2"/>
  <c r="L400" i="2"/>
  <c r="J400" i="2"/>
  <c r="I400" i="2"/>
  <c r="H400" i="2"/>
  <c r="F400" i="2"/>
  <c r="B400" i="2"/>
  <c r="P399" i="2"/>
  <c r="O399" i="2"/>
  <c r="U399" i="2" s="1"/>
  <c r="V399" i="2" s="1"/>
  <c r="L399" i="2"/>
  <c r="N399" i="2" s="1"/>
  <c r="I399" i="2"/>
  <c r="J399" i="2" s="1"/>
  <c r="H399" i="2"/>
  <c r="F399" i="2"/>
  <c r="B399" i="2"/>
  <c r="P398" i="2"/>
  <c r="N398" i="2"/>
  <c r="L398" i="2"/>
  <c r="O398" i="2" s="1"/>
  <c r="U398" i="2" s="1"/>
  <c r="V398" i="2" s="1"/>
  <c r="J398" i="2"/>
  <c r="I398" i="2"/>
  <c r="H398" i="2"/>
  <c r="F398" i="2"/>
  <c r="B398" i="2"/>
  <c r="P397" i="2"/>
  <c r="O397" i="2"/>
  <c r="U397" i="2" s="1"/>
  <c r="V397" i="2" s="1"/>
  <c r="L397" i="2"/>
  <c r="N397" i="2" s="1"/>
  <c r="I397" i="2"/>
  <c r="J397" i="2" s="1"/>
  <c r="H397" i="2"/>
  <c r="F397" i="2"/>
  <c r="B397" i="2"/>
  <c r="P396" i="2"/>
  <c r="O396" i="2"/>
  <c r="U396" i="2" s="1"/>
  <c r="V396" i="2" s="1"/>
  <c r="N396" i="2"/>
  <c r="L396" i="2"/>
  <c r="J396" i="2"/>
  <c r="I396" i="2"/>
  <c r="H396" i="2"/>
  <c r="F396" i="2"/>
  <c r="B396" i="2"/>
  <c r="P395" i="2"/>
  <c r="L395" i="2"/>
  <c r="I395" i="2"/>
  <c r="J395" i="2" s="1"/>
  <c r="H395" i="2"/>
  <c r="F395" i="2"/>
  <c r="B395" i="2"/>
  <c r="P394" i="2"/>
  <c r="N394" i="2"/>
  <c r="L394" i="2"/>
  <c r="O394" i="2" s="1"/>
  <c r="U394" i="2" s="1"/>
  <c r="V394" i="2" s="1"/>
  <c r="J394" i="2"/>
  <c r="I394" i="2"/>
  <c r="H394" i="2"/>
  <c r="F394" i="2"/>
  <c r="B394" i="2"/>
  <c r="P393" i="2"/>
  <c r="O393" i="2"/>
  <c r="U393" i="2" s="1"/>
  <c r="V393" i="2" s="1"/>
  <c r="L393" i="2"/>
  <c r="N393" i="2" s="1"/>
  <c r="I393" i="2"/>
  <c r="J393" i="2" s="1"/>
  <c r="H393" i="2"/>
  <c r="F393" i="2"/>
  <c r="B393" i="2"/>
  <c r="P392" i="2"/>
  <c r="O392" i="2"/>
  <c r="U392" i="2" s="1"/>
  <c r="V392" i="2" s="1"/>
  <c r="N392" i="2"/>
  <c r="L392" i="2"/>
  <c r="J392" i="2"/>
  <c r="I392" i="2"/>
  <c r="H392" i="2"/>
  <c r="F392" i="2"/>
  <c r="B392" i="2"/>
  <c r="P391" i="2"/>
  <c r="L391" i="2"/>
  <c r="N391" i="2" s="1"/>
  <c r="I391" i="2"/>
  <c r="J391" i="2" s="1"/>
  <c r="H391" i="2"/>
  <c r="F391" i="2"/>
  <c r="B391" i="2"/>
  <c r="P390" i="2"/>
  <c r="N390" i="2"/>
  <c r="L390" i="2"/>
  <c r="O390" i="2" s="1"/>
  <c r="U390" i="2" s="1"/>
  <c r="V390" i="2" s="1"/>
  <c r="J390" i="2"/>
  <c r="I390" i="2"/>
  <c r="H390" i="2"/>
  <c r="F390" i="2"/>
  <c r="B390" i="2"/>
  <c r="P389" i="2"/>
  <c r="L389" i="2"/>
  <c r="I389" i="2"/>
  <c r="J389" i="2" s="1"/>
  <c r="H389" i="2"/>
  <c r="F389" i="2"/>
  <c r="B389" i="2"/>
  <c r="P388" i="2"/>
  <c r="O388" i="2"/>
  <c r="U388" i="2" s="1"/>
  <c r="V388" i="2" s="1"/>
  <c r="N388" i="2"/>
  <c r="L388" i="2"/>
  <c r="J388" i="2"/>
  <c r="I388" i="2"/>
  <c r="H388" i="2"/>
  <c r="F388" i="2"/>
  <c r="B388" i="2"/>
  <c r="P387" i="2"/>
  <c r="L387" i="2"/>
  <c r="O387" i="2" s="1"/>
  <c r="U387" i="2" s="1"/>
  <c r="V387" i="2" s="1"/>
  <c r="I387" i="2"/>
  <c r="J387" i="2" s="1"/>
  <c r="H387" i="2"/>
  <c r="F387" i="2"/>
  <c r="B387" i="2"/>
  <c r="P386" i="2"/>
  <c r="L386" i="2"/>
  <c r="J386" i="2"/>
  <c r="I386" i="2"/>
  <c r="H386" i="2"/>
  <c r="F386" i="2"/>
  <c r="B386" i="2"/>
  <c r="P385" i="2"/>
  <c r="O385" i="2"/>
  <c r="U385" i="2" s="1"/>
  <c r="V385" i="2" s="1"/>
  <c r="L385" i="2"/>
  <c r="N385" i="2" s="1"/>
  <c r="I385" i="2"/>
  <c r="J385" i="2" s="1"/>
  <c r="H385" i="2"/>
  <c r="F385" i="2"/>
  <c r="B385" i="2"/>
  <c r="P384" i="2"/>
  <c r="O384" i="2"/>
  <c r="U384" i="2" s="1"/>
  <c r="V384" i="2" s="1"/>
  <c r="N384" i="2"/>
  <c r="L384" i="2"/>
  <c r="J384" i="2"/>
  <c r="I384" i="2"/>
  <c r="H384" i="2"/>
  <c r="F384" i="2"/>
  <c r="B384" i="2"/>
  <c r="P383" i="2"/>
  <c r="O383" i="2"/>
  <c r="U383" i="2" s="1"/>
  <c r="V383" i="2" s="1"/>
  <c r="N383" i="2"/>
  <c r="L383" i="2"/>
  <c r="I383" i="2"/>
  <c r="J383" i="2" s="1"/>
  <c r="H383" i="2"/>
  <c r="F383" i="2"/>
  <c r="B383" i="2"/>
  <c r="P382" i="2"/>
  <c r="L382" i="2"/>
  <c r="O382" i="2" s="1"/>
  <c r="U382" i="2" s="1"/>
  <c r="V382" i="2" s="1"/>
  <c r="J382" i="2"/>
  <c r="I382" i="2"/>
  <c r="H382" i="2"/>
  <c r="F382" i="2"/>
  <c r="B382" i="2"/>
  <c r="P381" i="2"/>
  <c r="L381" i="2"/>
  <c r="J381" i="2"/>
  <c r="I381" i="2"/>
  <c r="H381" i="2"/>
  <c r="F381" i="2"/>
  <c r="B381" i="2"/>
  <c r="P380" i="2"/>
  <c r="O380" i="2"/>
  <c r="U380" i="2" s="1"/>
  <c r="V380" i="2" s="1"/>
  <c r="N380" i="2"/>
  <c r="L380" i="2"/>
  <c r="I380" i="2"/>
  <c r="J380" i="2" s="1"/>
  <c r="H380" i="2"/>
  <c r="F380" i="2"/>
  <c r="B380" i="2"/>
  <c r="P379" i="2"/>
  <c r="O379" i="2"/>
  <c r="U379" i="2" s="1"/>
  <c r="V379" i="2" s="1"/>
  <c r="N379" i="2"/>
  <c r="L379" i="2"/>
  <c r="I379" i="2"/>
  <c r="J379" i="2" s="1"/>
  <c r="H379" i="2"/>
  <c r="F379" i="2"/>
  <c r="B379" i="2"/>
  <c r="P378" i="2"/>
  <c r="N378" i="2"/>
  <c r="L378" i="2"/>
  <c r="O378" i="2" s="1"/>
  <c r="U378" i="2" s="1"/>
  <c r="V378" i="2" s="1"/>
  <c r="J378" i="2"/>
  <c r="I378" i="2"/>
  <c r="H378" i="2"/>
  <c r="F378" i="2"/>
  <c r="B378" i="2"/>
  <c r="P377" i="2"/>
  <c r="O377" i="2"/>
  <c r="U377" i="2" s="1"/>
  <c r="V377" i="2" s="1"/>
  <c r="N377" i="2"/>
  <c r="L377" i="2"/>
  <c r="I377" i="2"/>
  <c r="J377" i="2" s="1"/>
  <c r="H377" i="2"/>
  <c r="F377" i="2"/>
  <c r="B377" i="2"/>
  <c r="P376" i="2"/>
  <c r="L376" i="2"/>
  <c r="J376" i="2"/>
  <c r="I376" i="2"/>
  <c r="H376" i="2"/>
  <c r="F376" i="2"/>
  <c r="B376" i="2"/>
  <c r="P375" i="2"/>
  <c r="L375" i="2"/>
  <c r="O375" i="2" s="1"/>
  <c r="U375" i="2" s="1"/>
  <c r="V375" i="2" s="1"/>
  <c r="J375" i="2"/>
  <c r="I375" i="2"/>
  <c r="H375" i="2"/>
  <c r="F375" i="2"/>
  <c r="B375" i="2"/>
  <c r="P374" i="2"/>
  <c r="O374" i="2"/>
  <c r="U374" i="2" s="1"/>
  <c r="V374" i="2" s="1"/>
  <c r="N374" i="2"/>
  <c r="L374" i="2"/>
  <c r="I374" i="2"/>
  <c r="J374" i="2" s="1"/>
  <c r="H374" i="2"/>
  <c r="F374" i="2"/>
  <c r="B374" i="2"/>
  <c r="P373" i="2"/>
  <c r="O373" i="2"/>
  <c r="U373" i="2" s="1"/>
  <c r="V373" i="2" s="1"/>
  <c r="N373" i="2"/>
  <c r="L373" i="2"/>
  <c r="I373" i="2"/>
  <c r="J373" i="2" s="1"/>
  <c r="H373" i="2"/>
  <c r="F373" i="2"/>
  <c r="B373" i="2"/>
  <c r="P372" i="2"/>
  <c r="L372" i="2"/>
  <c r="J372" i="2"/>
  <c r="I372" i="2"/>
  <c r="H372" i="2"/>
  <c r="F372" i="2"/>
  <c r="B372" i="2"/>
  <c r="P371" i="2"/>
  <c r="L371" i="2"/>
  <c r="O371" i="2" s="1"/>
  <c r="U371" i="2" s="1"/>
  <c r="V371" i="2" s="1"/>
  <c r="J371" i="2"/>
  <c r="I371" i="2"/>
  <c r="H371" i="2"/>
  <c r="F371" i="2"/>
  <c r="B371" i="2"/>
  <c r="P370" i="2"/>
  <c r="O370" i="2"/>
  <c r="U370" i="2" s="1"/>
  <c r="V370" i="2" s="1"/>
  <c r="N370" i="2"/>
  <c r="L370" i="2"/>
  <c r="I370" i="2"/>
  <c r="J370" i="2" s="1"/>
  <c r="H370" i="2"/>
  <c r="F370" i="2"/>
  <c r="B370" i="2"/>
  <c r="P369" i="2"/>
  <c r="O369" i="2"/>
  <c r="U369" i="2" s="1"/>
  <c r="V369" i="2" s="1"/>
  <c r="N369" i="2"/>
  <c r="L369" i="2"/>
  <c r="I369" i="2"/>
  <c r="J369" i="2" s="1"/>
  <c r="H369" i="2"/>
  <c r="F369" i="2"/>
  <c r="B369" i="2"/>
  <c r="P368" i="2"/>
  <c r="L368" i="2"/>
  <c r="J368" i="2"/>
  <c r="I368" i="2"/>
  <c r="H368" i="2"/>
  <c r="F368" i="2"/>
  <c r="B368" i="2"/>
  <c r="P367" i="2"/>
  <c r="L367" i="2"/>
  <c r="O367" i="2" s="1"/>
  <c r="U367" i="2" s="1"/>
  <c r="V367" i="2" s="1"/>
  <c r="J367" i="2"/>
  <c r="I367" i="2"/>
  <c r="H367" i="2"/>
  <c r="F367" i="2"/>
  <c r="B367" i="2"/>
  <c r="P366" i="2"/>
  <c r="O366" i="2"/>
  <c r="U366" i="2" s="1"/>
  <c r="V366" i="2" s="1"/>
  <c r="N366" i="2"/>
  <c r="L366" i="2"/>
  <c r="I366" i="2"/>
  <c r="J366" i="2" s="1"/>
  <c r="H366" i="2"/>
  <c r="F366" i="2"/>
  <c r="B366" i="2"/>
  <c r="P365" i="2"/>
  <c r="O365" i="2"/>
  <c r="U365" i="2" s="1"/>
  <c r="V365" i="2" s="1"/>
  <c r="N365" i="2"/>
  <c r="L365" i="2"/>
  <c r="I365" i="2"/>
  <c r="J365" i="2" s="1"/>
  <c r="H365" i="2"/>
  <c r="F365" i="2"/>
  <c r="B365" i="2"/>
  <c r="P364" i="2"/>
  <c r="L364" i="2"/>
  <c r="J364" i="2"/>
  <c r="I364" i="2"/>
  <c r="H364" i="2"/>
  <c r="F364" i="2"/>
  <c r="B364" i="2"/>
  <c r="P363" i="2"/>
  <c r="L363" i="2"/>
  <c r="O363" i="2" s="1"/>
  <c r="U363" i="2" s="1"/>
  <c r="V363" i="2" s="1"/>
  <c r="J363" i="2"/>
  <c r="I363" i="2"/>
  <c r="H363" i="2"/>
  <c r="F363" i="2"/>
  <c r="B363" i="2"/>
  <c r="P362" i="2"/>
  <c r="O362" i="2"/>
  <c r="U362" i="2" s="1"/>
  <c r="V362" i="2" s="1"/>
  <c r="N362" i="2"/>
  <c r="L362" i="2"/>
  <c r="I362" i="2"/>
  <c r="J362" i="2" s="1"/>
  <c r="H362" i="2"/>
  <c r="F362" i="2"/>
  <c r="B362" i="2"/>
  <c r="P361" i="2"/>
  <c r="O361" i="2"/>
  <c r="U361" i="2" s="1"/>
  <c r="V361" i="2" s="1"/>
  <c r="N361" i="2"/>
  <c r="L361" i="2"/>
  <c r="I361" i="2"/>
  <c r="J361" i="2" s="1"/>
  <c r="H361" i="2"/>
  <c r="F361" i="2"/>
  <c r="B361" i="2"/>
  <c r="P360" i="2"/>
  <c r="L360" i="2"/>
  <c r="J360" i="2"/>
  <c r="I360" i="2"/>
  <c r="H360" i="2"/>
  <c r="F360" i="2"/>
  <c r="B360" i="2"/>
  <c r="P359" i="2"/>
  <c r="L359" i="2"/>
  <c r="O359" i="2" s="1"/>
  <c r="U359" i="2" s="1"/>
  <c r="V359" i="2" s="1"/>
  <c r="J359" i="2"/>
  <c r="I359" i="2"/>
  <c r="H359" i="2"/>
  <c r="F359" i="2"/>
  <c r="B359" i="2"/>
  <c r="P358" i="2"/>
  <c r="O358" i="2"/>
  <c r="U358" i="2" s="1"/>
  <c r="V358" i="2" s="1"/>
  <c r="N358" i="2"/>
  <c r="L358" i="2"/>
  <c r="I358" i="2"/>
  <c r="J358" i="2" s="1"/>
  <c r="H358" i="2"/>
  <c r="F358" i="2"/>
  <c r="B358" i="2"/>
  <c r="P357" i="2"/>
  <c r="O357" i="2"/>
  <c r="U357" i="2" s="1"/>
  <c r="V357" i="2" s="1"/>
  <c r="N357" i="2"/>
  <c r="L357" i="2"/>
  <c r="I357" i="2"/>
  <c r="J357" i="2" s="1"/>
  <c r="H357" i="2"/>
  <c r="F357" i="2"/>
  <c r="B357" i="2"/>
  <c r="P356" i="2"/>
  <c r="L356" i="2"/>
  <c r="J356" i="2"/>
  <c r="I356" i="2"/>
  <c r="H356" i="2"/>
  <c r="F356" i="2"/>
  <c r="B356" i="2"/>
  <c r="P355" i="2"/>
  <c r="L355" i="2"/>
  <c r="O355" i="2" s="1"/>
  <c r="U355" i="2" s="1"/>
  <c r="V355" i="2" s="1"/>
  <c r="J355" i="2"/>
  <c r="I355" i="2"/>
  <c r="H355" i="2"/>
  <c r="F355" i="2"/>
  <c r="B355" i="2"/>
  <c r="P354" i="2"/>
  <c r="O354" i="2"/>
  <c r="U354" i="2" s="1"/>
  <c r="V354" i="2" s="1"/>
  <c r="N354" i="2"/>
  <c r="L354" i="2"/>
  <c r="I354" i="2"/>
  <c r="J354" i="2" s="1"/>
  <c r="H354" i="2"/>
  <c r="F354" i="2"/>
  <c r="B354" i="2"/>
  <c r="P353" i="2"/>
  <c r="O353" i="2"/>
  <c r="U353" i="2" s="1"/>
  <c r="V353" i="2" s="1"/>
  <c r="N353" i="2"/>
  <c r="L353" i="2"/>
  <c r="I353" i="2"/>
  <c r="J353" i="2" s="1"/>
  <c r="H353" i="2"/>
  <c r="F353" i="2"/>
  <c r="B353" i="2"/>
  <c r="P352" i="2"/>
  <c r="L352" i="2"/>
  <c r="J352" i="2"/>
  <c r="I352" i="2"/>
  <c r="H352" i="2"/>
  <c r="F352" i="2"/>
  <c r="B352" i="2"/>
  <c r="P351" i="2"/>
  <c r="L351" i="2"/>
  <c r="O351" i="2" s="1"/>
  <c r="U351" i="2" s="1"/>
  <c r="V351" i="2" s="1"/>
  <c r="J351" i="2"/>
  <c r="I351" i="2"/>
  <c r="H351" i="2"/>
  <c r="F351" i="2"/>
  <c r="B351" i="2"/>
  <c r="P350" i="2"/>
  <c r="O350" i="2"/>
  <c r="U350" i="2" s="1"/>
  <c r="V350" i="2" s="1"/>
  <c r="N350" i="2"/>
  <c r="L350" i="2"/>
  <c r="I350" i="2"/>
  <c r="J350" i="2" s="1"/>
  <c r="H350" i="2"/>
  <c r="F350" i="2"/>
  <c r="B350" i="2"/>
  <c r="P349" i="2"/>
  <c r="O349" i="2"/>
  <c r="U349" i="2" s="1"/>
  <c r="V349" i="2" s="1"/>
  <c r="N349" i="2"/>
  <c r="L349" i="2"/>
  <c r="I349" i="2"/>
  <c r="J349" i="2" s="1"/>
  <c r="H349" i="2"/>
  <c r="F349" i="2"/>
  <c r="B349" i="2"/>
  <c r="P348" i="2"/>
  <c r="L348" i="2"/>
  <c r="J348" i="2"/>
  <c r="I348" i="2"/>
  <c r="H348" i="2"/>
  <c r="F348" i="2"/>
  <c r="B348" i="2"/>
  <c r="P347" i="2"/>
  <c r="L347" i="2"/>
  <c r="O347" i="2" s="1"/>
  <c r="U347" i="2" s="1"/>
  <c r="V347" i="2" s="1"/>
  <c r="J347" i="2"/>
  <c r="I347" i="2"/>
  <c r="H347" i="2"/>
  <c r="F347" i="2"/>
  <c r="B347" i="2"/>
  <c r="P346" i="2"/>
  <c r="O346" i="2"/>
  <c r="U346" i="2" s="1"/>
  <c r="V346" i="2" s="1"/>
  <c r="N346" i="2"/>
  <c r="L346" i="2"/>
  <c r="I346" i="2"/>
  <c r="J346" i="2" s="1"/>
  <c r="H346" i="2"/>
  <c r="F346" i="2"/>
  <c r="B346" i="2"/>
  <c r="P345" i="2"/>
  <c r="O345" i="2"/>
  <c r="U345" i="2" s="1"/>
  <c r="V345" i="2" s="1"/>
  <c r="N345" i="2"/>
  <c r="L345" i="2"/>
  <c r="I345" i="2"/>
  <c r="J345" i="2" s="1"/>
  <c r="H345" i="2"/>
  <c r="F345" i="2"/>
  <c r="B345" i="2"/>
  <c r="P344" i="2"/>
  <c r="L344" i="2"/>
  <c r="J344" i="2"/>
  <c r="I344" i="2"/>
  <c r="H344" i="2"/>
  <c r="F344" i="2"/>
  <c r="B344" i="2"/>
  <c r="P343" i="2"/>
  <c r="L343" i="2"/>
  <c r="O343" i="2" s="1"/>
  <c r="U343" i="2" s="1"/>
  <c r="V343" i="2" s="1"/>
  <c r="J343" i="2"/>
  <c r="I343" i="2"/>
  <c r="H343" i="2"/>
  <c r="F343" i="2"/>
  <c r="B343" i="2"/>
  <c r="P342" i="2"/>
  <c r="O342" i="2"/>
  <c r="U342" i="2" s="1"/>
  <c r="V342" i="2" s="1"/>
  <c r="N342" i="2"/>
  <c r="L342" i="2"/>
  <c r="I342" i="2"/>
  <c r="J342" i="2" s="1"/>
  <c r="H342" i="2"/>
  <c r="F342" i="2"/>
  <c r="B342" i="2"/>
  <c r="P341" i="2"/>
  <c r="O341" i="2"/>
  <c r="U341" i="2" s="1"/>
  <c r="V341" i="2" s="1"/>
  <c r="N341" i="2"/>
  <c r="L341" i="2"/>
  <c r="I341" i="2"/>
  <c r="J341" i="2" s="1"/>
  <c r="H341" i="2"/>
  <c r="F341" i="2"/>
  <c r="B341" i="2"/>
  <c r="P340" i="2"/>
  <c r="L340" i="2"/>
  <c r="J340" i="2"/>
  <c r="I340" i="2"/>
  <c r="H340" i="2"/>
  <c r="F340" i="2"/>
  <c r="B340" i="2"/>
  <c r="P339" i="2"/>
  <c r="L339" i="2"/>
  <c r="O339" i="2" s="1"/>
  <c r="U339" i="2" s="1"/>
  <c r="V339" i="2" s="1"/>
  <c r="J339" i="2"/>
  <c r="I339" i="2"/>
  <c r="H339" i="2"/>
  <c r="F339" i="2"/>
  <c r="B339" i="2"/>
  <c r="P338" i="2"/>
  <c r="O338" i="2"/>
  <c r="U338" i="2" s="1"/>
  <c r="V338" i="2" s="1"/>
  <c r="N338" i="2"/>
  <c r="L338" i="2"/>
  <c r="I338" i="2"/>
  <c r="J338" i="2" s="1"/>
  <c r="H338" i="2"/>
  <c r="F338" i="2"/>
  <c r="B338" i="2"/>
  <c r="P337" i="2"/>
  <c r="O337" i="2"/>
  <c r="U337" i="2" s="1"/>
  <c r="V337" i="2" s="1"/>
  <c r="N337" i="2"/>
  <c r="L337" i="2"/>
  <c r="I337" i="2"/>
  <c r="J337" i="2" s="1"/>
  <c r="H337" i="2"/>
  <c r="F337" i="2"/>
  <c r="B337" i="2"/>
  <c r="P336" i="2"/>
  <c r="L336" i="2"/>
  <c r="J336" i="2"/>
  <c r="I336" i="2"/>
  <c r="H336" i="2"/>
  <c r="F336" i="2"/>
  <c r="B336" i="2"/>
  <c r="P335" i="2"/>
  <c r="L335" i="2"/>
  <c r="O335" i="2" s="1"/>
  <c r="U335" i="2" s="1"/>
  <c r="V335" i="2" s="1"/>
  <c r="J335" i="2"/>
  <c r="I335" i="2"/>
  <c r="H335" i="2"/>
  <c r="F335" i="2"/>
  <c r="B335" i="2"/>
  <c r="P334" i="2"/>
  <c r="O334" i="2"/>
  <c r="U334" i="2" s="1"/>
  <c r="V334" i="2" s="1"/>
  <c r="N334" i="2"/>
  <c r="L334" i="2"/>
  <c r="I334" i="2"/>
  <c r="J334" i="2" s="1"/>
  <c r="H334" i="2"/>
  <c r="F334" i="2"/>
  <c r="B334" i="2"/>
  <c r="P333" i="2"/>
  <c r="O333" i="2"/>
  <c r="U333" i="2" s="1"/>
  <c r="V333" i="2" s="1"/>
  <c r="N333" i="2"/>
  <c r="L333" i="2"/>
  <c r="I333" i="2"/>
  <c r="J333" i="2" s="1"/>
  <c r="H333" i="2"/>
  <c r="F333" i="2"/>
  <c r="B333" i="2"/>
  <c r="P332" i="2"/>
  <c r="L332" i="2"/>
  <c r="J332" i="2"/>
  <c r="I332" i="2"/>
  <c r="H332" i="2"/>
  <c r="F332" i="2"/>
  <c r="B332" i="2"/>
  <c r="P331" i="2"/>
  <c r="L331" i="2"/>
  <c r="O331" i="2" s="1"/>
  <c r="U331" i="2" s="1"/>
  <c r="V331" i="2" s="1"/>
  <c r="J331" i="2"/>
  <c r="I331" i="2"/>
  <c r="H331" i="2"/>
  <c r="F331" i="2"/>
  <c r="B331" i="2"/>
  <c r="P330" i="2"/>
  <c r="O330" i="2"/>
  <c r="U330" i="2" s="1"/>
  <c r="V330" i="2" s="1"/>
  <c r="N330" i="2"/>
  <c r="L330" i="2"/>
  <c r="I330" i="2"/>
  <c r="J330" i="2" s="1"/>
  <c r="H330" i="2"/>
  <c r="F330" i="2"/>
  <c r="B330" i="2"/>
  <c r="P329" i="2"/>
  <c r="O329" i="2"/>
  <c r="U329" i="2" s="1"/>
  <c r="V329" i="2" s="1"/>
  <c r="N329" i="2"/>
  <c r="L329" i="2"/>
  <c r="I329" i="2"/>
  <c r="J329" i="2" s="1"/>
  <c r="H329" i="2"/>
  <c r="F329" i="2"/>
  <c r="B329" i="2"/>
  <c r="P328" i="2"/>
  <c r="L328" i="2"/>
  <c r="J328" i="2"/>
  <c r="I328" i="2"/>
  <c r="H328" i="2"/>
  <c r="F328" i="2"/>
  <c r="B328" i="2"/>
  <c r="P327" i="2"/>
  <c r="L327" i="2"/>
  <c r="O327" i="2" s="1"/>
  <c r="U327" i="2" s="1"/>
  <c r="V327" i="2" s="1"/>
  <c r="J327" i="2"/>
  <c r="I327" i="2"/>
  <c r="H327" i="2"/>
  <c r="F327" i="2"/>
  <c r="B327" i="2"/>
  <c r="P326" i="2"/>
  <c r="O326" i="2"/>
  <c r="U326" i="2" s="1"/>
  <c r="V326" i="2" s="1"/>
  <c r="N326" i="2"/>
  <c r="L326" i="2"/>
  <c r="I326" i="2"/>
  <c r="J326" i="2" s="1"/>
  <c r="H326" i="2"/>
  <c r="F326" i="2"/>
  <c r="B326" i="2"/>
  <c r="P325" i="2"/>
  <c r="O325" i="2"/>
  <c r="U325" i="2" s="1"/>
  <c r="V325" i="2" s="1"/>
  <c r="N325" i="2"/>
  <c r="L325" i="2"/>
  <c r="I325" i="2"/>
  <c r="J325" i="2" s="1"/>
  <c r="H325" i="2"/>
  <c r="F325" i="2"/>
  <c r="B325" i="2"/>
  <c r="P324" i="2"/>
  <c r="L324" i="2"/>
  <c r="J324" i="2"/>
  <c r="I324" i="2"/>
  <c r="H324" i="2"/>
  <c r="F324" i="2"/>
  <c r="B324" i="2"/>
  <c r="P323" i="2"/>
  <c r="L323" i="2"/>
  <c r="O323" i="2" s="1"/>
  <c r="U323" i="2" s="1"/>
  <c r="V323" i="2" s="1"/>
  <c r="J323" i="2"/>
  <c r="I323" i="2"/>
  <c r="H323" i="2"/>
  <c r="F323" i="2"/>
  <c r="B323" i="2"/>
  <c r="P322" i="2"/>
  <c r="O322" i="2"/>
  <c r="U322" i="2" s="1"/>
  <c r="V322" i="2" s="1"/>
  <c r="N322" i="2"/>
  <c r="L322" i="2"/>
  <c r="I322" i="2"/>
  <c r="J322" i="2" s="1"/>
  <c r="H322" i="2"/>
  <c r="F322" i="2"/>
  <c r="B322" i="2"/>
  <c r="P321" i="2"/>
  <c r="O321" i="2"/>
  <c r="U321" i="2" s="1"/>
  <c r="V321" i="2" s="1"/>
  <c r="N321" i="2"/>
  <c r="L321" i="2"/>
  <c r="I321" i="2"/>
  <c r="J321" i="2" s="1"/>
  <c r="H321" i="2"/>
  <c r="F321" i="2"/>
  <c r="B321" i="2"/>
  <c r="P320" i="2"/>
  <c r="L320" i="2"/>
  <c r="J320" i="2"/>
  <c r="I320" i="2"/>
  <c r="H320" i="2"/>
  <c r="F320" i="2"/>
  <c r="B320" i="2"/>
  <c r="P319" i="2"/>
  <c r="L319" i="2"/>
  <c r="O319" i="2" s="1"/>
  <c r="U319" i="2" s="1"/>
  <c r="V319" i="2" s="1"/>
  <c r="J319" i="2"/>
  <c r="I319" i="2"/>
  <c r="H319" i="2"/>
  <c r="F319" i="2"/>
  <c r="B319" i="2"/>
  <c r="P318" i="2"/>
  <c r="O318" i="2"/>
  <c r="U318" i="2" s="1"/>
  <c r="V318" i="2" s="1"/>
  <c r="N318" i="2"/>
  <c r="L318" i="2"/>
  <c r="I318" i="2"/>
  <c r="J318" i="2" s="1"/>
  <c r="H318" i="2"/>
  <c r="F318" i="2"/>
  <c r="B318" i="2"/>
  <c r="P317" i="2"/>
  <c r="O317" i="2"/>
  <c r="U317" i="2" s="1"/>
  <c r="V317" i="2" s="1"/>
  <c r="N317" i="2"/>
  <c r="L317" i="2"/>
  <c r="I317" i="2"/>
  <c r="J317" i="2" s="1"/>
  <c r="H317" i="2"/>
  <c r="F317" i="2"/>
  <c r="B317" i="2"/>
  <c r="P316" i="2"/>
  <c r="L316" i="2"/>
  <c r="J316" i="2"/>
  <c r="I316" i="2"/>
  <c r="H316" i="2"/>
  <c r="F316" i="2"/>
  <c r="B316" i="2"/>
  <c r="P315" i="2"/>
  <c r="L315" i="2"/>
  <c r="O315" i="2" s="1"/>
  <c r="U315" i="2" s="1"/>
  <c r="V315" i="2" s="1"/>
  <c r="J315" i="2"/>
  <c r="I315" i="2"/>
  <c r="H315" i="2"/>
  <c r="F315" i="2"/>
  <c r="B315" i="2"/>
  <c r="P314" i="2"/>
  <c r="O314" i="2"/>
  <c r="U314" i="2" s="1"/>
  <c r="V314" i="2" s="1"/>
  <c r="N314" i="2"/>
  <c r="L314" i="2"/>
  <c r="I314" i="2"/>
  <c r="J314" i="2" s="1"/>
  <c r="H314" i="2"/>
  <c r="F314" i="2"/>
  <c r="B314" i="2"/>
  <c r="P313" i="2"/>
  <c r="O313" i="2"/>
  <c r="U313" i="2" s="1"/>
  <c r="V313" i="2" s="1"/>
  <c r="N313" i="2"/>
  <c r="L313" i="2"/>
  <c r="I313" i="2"/>
  <c r="J313" i="2" s="1"/>
  <c r="H313" i="2"/>
  <c r="F313" i="2"/>
  <c r="B313" i="2"/>
  <c r="P312" i="2"/>
  <c r="L312" i="2"/>
  <c r="J312" i="2"/>
  <c r="I312" i="2"/>
  <c r="H312" i="2"/>
  <c r="F312" i="2"/>
  <c r="B312" i="2"/>
  <c r="P311" i="2"/>
  <c r="L311" i="2"/>
  <c r="O311" i="2" s="1"/>
  <c r="U311" i="2" s="1"/>
  <c r="V311" i="2" s="1"/>
  <c r="J311" i="2"/>
  <c r="I311" i="2"/>
  <c r="H311" i="2"/>
  <c r="F311" i="2"/>
  <c r="B311" i="2"/>
  <c r="P310" i="2"/>
  <c r="O310" i="2"/>
  <c r="U310" i="2" s="1"/>
  <c r="V310" i="2" s="1"/>
  <c r="N310" i="2"/>
  <c r="L310" i="2"/>
  <c r="I310" i="2"/>
  <c r="J310" i="2" s="1"/>
  <c r="H310" i="2"/>
  <c r="F310" i="2"/>
  <c r="B310" i="2"/>
  <c r="P309" i="2"/>
  <c r="O309" i="2"/>
  <c r="U309" i="2" s="1"/>
  <c r="V309" i="2" s="1"/>
  <c r="N309" i="2"/>
  <c r="L309" i="2"/>
  <c r="I309" i="2"/>
  <c r="J309" i="2" s="1"/>
  <c r="H309" i="2"/>
  <c r="F309" i="2"/>
  <c r="B309" i="2"/>
  <c r="P308" i="2"/>
  <c r="L308" i="2"/>
  <c r="J308" i="2"/>
  <c r="I308" i="2"/>
  <c r="H308" i="2"/>
  <c r="F308" i="2"/>
  <c r="B308" i="2"/>
  <c r="P307" i="2"/>
  <c r="L307" i="2"/>
  <c r="O307" i="2" s="1"/>
  <c r="U307" i="2" s="1"/>
  <c r="V307" i="2" s="1"/>
  <c r="J307" i="2"/>
  <c r="I307" i="2"/>
  <c r="H307" i="2"/>
  <c r="F307" i="2"/>
  <c r="B307" i="2"/>
  <c r="P306" i="2"/>
  <c r="O306" i="2"/>
  <c r="U306" i="2" s="1"/>
  <c r="V306" i="2" s="1"/>
  <c r="N306" i="2"/>
  <c r="L306" i="2"/>
  <c r="I306" i="2"/>
  <c r="J306" i="2" s="1"/>
  <c r="H306" i="2"/>
  <c r="F306" i="2"/>
  <c r="B306" i="2"/>
  <c r="P305" i="2"/>
  <c r="O305" i="2"/>
  <c r="U305" i="2" s="1"/>
  <c r="V305" i="2" s="1"/>
  <c r="N305" i="2"/>
  <c r="L305" i="2"/>
  <c r="I305" i="2"/>
  <c r="J305" i="2" s="1"/>
  <c r="H305" i="2"/>
  <c r="F305" i="2"/>
  <c r="B305" i="2"/>
  <c r="P304" i="2"/>
  <c r="L304" i="2"/>
  <c r="J304" i="2"/>
  <c r="I304" i="2"/>
  <c r="H304" i="2"/>
  <c r="F304" i="2"/>
  <c r="B304" i="2"/>
  <c r="P303" i="2"/>
  <c r="L303" i="2"/>
  <c r="O303" i="2" s="1"/>
  <c r="U303" i="2" s="1"/>
  <c r="V303" i="2" s="1"/>
  <c r="J303" i="2"/>
  <c r="I303" i="2"/>
  <c r="H303" i="2"/>
  <c r="F303" i="2"/>
  <c r="B303" i="2"/>
  <c r="P302" i="2"/>
  <c r="O302" i="2"/>
  <c r="U302" i="2" s="1"/>
  <c r="V302" i="2" s="1"/>
  <c r="N302" i="2"/>
  <c r="L302" i="2"/>
  <c r="I302" i="2"/>
  <c r="J302" i="2" s="1"/>
  <c r="H302" i="2"/>
  <c r="F302" i="2"/>
  <c r="B302" i="2"/>
  <c r="P301" i="2"/>
  <c r="O301" i="2"/>
  <c r="U301" i="2" s="1"/>
  <c r="V301" i="2" s="1"/>
  <c r="N301" i="2"/>
  <c r="L301" i="2"/>
  <c r="I301" i="2"/>
  <c r="J301" i="2" s="1"/>
  <c r="H301" i="2"/>
  <c r="F301" i="2"/>
  <c r="B301" i="2"/>
  <c r="P300" i="2"/>
  <c r="L300" i="2"/>
  <c r="J300" i="2"/>
  <c r="I300" i="2"/>
  <c r="H300" i="2"/>
  <c r="F300" i="2"/>
  <c r="B300" i="2"/>
  <c r="P299" i="2"/>
  <c r="L299" i="2"/>
  <c r="O299" i="2" s="1"/>
  <c r="U299" i="2" s="1"/>
  <c r="V299" i="2" s="1"/>
  <c r="J299" i="2"/>
  <c r="I299" i="2"/>
  <c r="H299" i="2"/>
  <c r="F299" i="2"/>
  <c r="B299" i="2"/>
  <c r="P298" i="2"/>
  <c r="O298" i="2"/>
  <c r="U298" i="2" s="1"/>
  <c r="V298" i="2" s="1"/>
  <c r="N298" i="2"/>
  <c r="L298" i="2"/>
  <c r="I298" i="2"/>
  <c r="J298" i="2" s="1"/>
  <c r="H298" i="2"/>
  <c r="F298" i="2"/>
  <c r="B298" i="2"/>
  <c r="P297" i="2"/>
  <c r="O297" i="2"/>
  <c r="U297" i="2" s="1"/>
  <c r="V297" i="2" s="1"/>
  <c r="N297" i="2"/>
  <c r="L297" i="2"/>
  <c r="I297" i="2"/>
  <c r="J297" i="2" s="1"/>
  <c r="H297" i="2"/>
  <c r="F297" i="2"/>
  <c r="B297" i="2"/>
  <c r="P296" i="2"/>
  <c r="L296" i="2"/>
  <c r="J296" i="2"/>
  <c r="I296" i="2"/>
  <c r="H296" i="2"/>
  <c r="F296" i="2"/>
  <c r="B296" i="2"/>
  <c r="P295" i="2"/>
  <c r="L295" i="2"/>
  <c r="O295" i="2" s="1"/>
  <c r="U295" i="2" s="1"/>
  <c r="V295" i="2" s="1"/>
  <c r="J295" i="2"/>
  <c r="I295" i="2"/>
  <c r="H295" i="2"/>
  <c r="F295" i="2"/>
  <c r="B295" i="2"/>
  <c r="P294" i="2"/>
  <c r="O294" i="2"/>
  <c r="U294" i="2" s="1"/>
  <c r="V294" i="2" s="1"/>
  <c r="N294" i="2"/>
  <c r="L294" i="2"/>
  <c r="I294" i="2"/>
  <c r="J294" i="2" s="1"/>
  <c r="H294" i="2"/>
  <c r="F294" i="2"/>
  <c r="B294" i="2"/>
  <c r="P293" i="2"/>
  <c r="O293" i="2"/>
  <c r="U293" i="2" s="1"/>
  <c r="V293" i="2" s="1"/>
  <c r="N293" i="2"/>
  <c r="L293" i="2"/>
  <c r="I293" i="2"/>
  <c r="J293" i="2" s="1"/>
  <c r="H293" i="2"/>
  <c r="F293" i="2"/>
  <c r="B293" i="2"/>
  <c r="P292" i="2"/>
  <c r="L292" i="2"/>
  <c r="J292" i="2"/>
  <c r="I292" i="2"/>
  <c r="H292" i="2"/>
  <c r="F292" i="2"/>
  <c r="B292" i="2"/>
  <c r="P291" i="2"/>
  <c r="L291" i="2"/>
  <c r="O291" i="2" s="1"/>
  <c r="U291" i="2" s="1"/>
  <c r="V291" i="2" s="1"/>
  <c r="J291" i="2"/>
  <c r="I291" i="2"/>
  <c r="H291" i="2"/>
  <c r="F291" i="2"/>
  <c r="B291" i="2"/>
  <c r="P290" i="2"/>
  <c r="O290" i="2"/>
  <c r="U290" i="2" s="1"/>
  <c r="V290" i="2" s="1"/>
  <c r="N290" i="2"/>
  <c r="L290" i="2"/>
  <c r="I290" i="2"/>
  <c r="J290" i="2" s="1"/>
  <c r="H290" i="2"/>
  <c r="F290" i="2"/>
  <c r="B290" i="2"/>
  <c r="P289" i="2"/>
  <c r="O289" i="2"/>
  <c r="U289" i="2" s="1"/>
  <c r="V289" i="2" s="1"/>
  <c r="N289" i="2"/>
  <c r="L289" i="2"/>
  <c r="I289" i="2"/>
  <c r="J289" i="2" s="1"/>
  <c r="H289" i="2"/>
  <c r="F289" i="2"/>
  <c r="B289" i="2"/>
  <c r="P288" i="2"/>
  <c r="L288" i="2"/>
  <c r="J288" i="2"/>
  <c r="I288" i="2"/>
  <c r="H288" i="2"/>
  <c r="F288" i="2"/>
  <c r="B288" i="2"/>
  <c r="P287" i="2"/>
  <c r="L287" i="2"/>
  <c r="O287" i="2" s="1"/>
  <c r="U287" i="2" s="1"/>
  <c r="V287" i="2" s="1"/>
  <c r="J287" i="2"/>
  <c r="I287" i="2"/>
  <c r="H287" i="2"/>
  <c r="F287" i="2"/>
  <c r="B287" i="2"/>
  <c r="P286" i="2"/>
  <c r="O286" i="2"/>
  <c r="U286" i="2" s="1"/>
  <c r="V286" i="2" s="1"/>
  <c r="N286" i="2"/>
  <c r="L286" i="2"/>
  <c r="I286" i="2"/>
  <c r="J286" i="2" s="1"/>
  <c r="H286" i="2"/>
  <c r="F286" i="2"/>
  <c r="B286" i="2"/>
  <c r="P285" i="2"/>
  <c r="O285" i="2"/>
  <c r="U285" i="2" s="1"/>
  <c r="V285" i="2" s="1"/>
  <c r="N285" i="2"/>
  <c r="L285" i="2"/>
  <c r="I285" i="2"/>
  <c r="J285" i="2" s="1"/>
  <c r="H285" i="2"/>
  <c r="F285" i="2"/>
  <c r="B285" i="2"/>
  <c r="P284" i="2"/>
  <c r="L284" i="2"/>
  <c r="J284" i="2"/>
  <c r="I284" i="2"/>
  <c r="H284" i="2"/>
  <c r="F284" i="2"/>
  <c r="B284" i="2"/>
  <c r="P283" i="2"/>
  <c r="L283" i="2"/>
  <c r="O283" i="2" s="1"/>
  <c r="U283" i="2" s="1"/>
  <c r="V283" i="2" s="1"/>
  <c r="J283" i="2"/>
  <c r="I283" i="2"/>
  <c r="H283" i="2"/>
  <c r="F283" i="2"/>
  <c r="B283" i="2"/>
  <c r="P282" i="2"/>
  <c r="O282" i="2"/>
  <c r="U282" i="2" s="1"/>
  <c r="V282" i="2" s="1"/>
  <c r="N282" i="2"/>
  <c r="L282" i="2"/>
  <c r="I282" i="2"/>
  <c r="J282" i="2" s="1"/>
  <c r="H282" i="2"/>
  <c r="F282" i="2"/>
  <c r="B282" i="2"/>
  <c r="P281" i="2"/>
  <c r="O281" i="2"/>
  <c r="U281" i="2" s="1"/>
  <c r="V281" i="2" s="1"/>
  <c r="N281" i="2"/>
  <c r="L281" i="2"/>
  <c r="I281" i="2"/>
  <c r="J281" i="2" s="1"/>
  <c r="H281" i="2"/>
  <c r="F281" i="2"/>
  <c r="B281" i="2"/>
  <c r="P280" i="2"/>
  <c r="L280" i="2"/>
  <c r="J280" i="2"/>
  <c r="I280" i="2"/>
  <c r="H280" i="2"/>
  <c r="F280" i="2"/>
  <c r="B280" i="2"/>
  <c r="P279" i="2"/>
  <c r="L279" i="2"/>
  <c r="O279" i="2" s="1"/>
  <c r="U279" i="2" s="1"/>
  <c r="V279" i="2" s="1"/>
  <c r="J279" i="2"/>
  <c r="I279" i="2"/>
  <c r="H279" i="2"/>
  <c r="F279" i="2"/>
  <c r="B279" i="2"/>
  <c r="P278" i="2"/>
  <c r="O278" i="2"/>
  <c r="U278" i="2" s="1"/>
  <c r="V278" i="2" s="1"/>
  <c r="N278" i="2"/>
  <c r="L278" i="2"/>
  <c r="I278" i="2"/>
  <c r="J278" i="2" s="1"/>
  <c r="H278" i="2"/>
  <c r="F278" i="2"/>
  <c r="B278" i="2"/>
  <c r="P277" i="2"/>
  <c r="O277" i="2"/>
  <c r="U277" i="2" s="1"/>
  <c r="V277" i="2" s="1"/>
  <c r="N277" i="2"/>
  <c r="L277" i="2"/>
  <c r="I277" i="2"/>
  <c r="J277" i="2" s="1"/>
  <c r="H277" i="2"/>
  <c r="F277" i="2"/>
  <c r="B277" i="2"/>
  <c r="P276" i="2"/>
  <c r="L276" i="2"/>
  <c r="J276" i="2"/>
  <c r="I276" i="2"/>
  <c r="H276" i="2"/>
  <c r="F276" i="2"/>
  <c r="B276" i="2"/>
  <c r="P275" i="2"/>
  <c r="L275" i="2"/>
  <c r="O275" i="2" s="1"/>
  <c r="U275" i="2" s="1"/>
  <c r="V275" i="2" s="1"/>
  <c r="J275" i="2"/>
  <c r="I275" i="2"/>
  <c r="H275" i="2"/>
  <c r="F275" i="2"/>
  <c r="B275" i="2"/>
  <c r="P274" i="2"/>
  <c r="O274" i="2"/>
  <c r="U274" i="2" s="1"/>
  <c r="V274" i="2" s="1"/>
  <c r="N274" i="2"/>
  <c r="L274" i="2"/>
  <c r="I274" i="2"/>
  <c r="J274" i="2" s="1"/>
  <c r="H274" i="2"/>
  <c r="F274" i="2"/>
  <c r="B274" i="2"/>
  <c r="P273" i="2"/>
  <c r="O273" i="2"/>
  <c r="U273" i="2" s="1"/>
  <c r="V273" i="2" s="1"/>
  <c r="N273" i="2"/>
  <c r="L273" i="2"/>
  <c r="I273" i="2"/>
  <c r="J273" i="2" s="1"/>
  <c r="H273" i="2"/>
  <c r="F273" i="2"/>
  <c r="B273" i="2"/>
  <c r="P272" i="2"/>
  <c r="L272" i="2"/>
  <c r="J272" i="2"/>
  <c r="I272" i="2"/>
  <c r="H272" i="2"/>
  <c r="F272" i="2"/>
  <c r="B272" i="2"/>
  <c r="P271" i="2"/>
  <c r="L271" i="2"/>
  <c r="O271" i="2" s="1"/>
  <c r="U271" i="2" s="1"/>
  <c r="V271" i="2" s="1"/>
  <c r="J271" i="2"/>
  <c r="I271" i="2"/>
  <c r="H271" i="2"/>
  <c r="F271" i="2"/>
  <c r="B271" i="2"/>
  <c r="P270" i="2"/>
  <c r="O270" i="2"/>
  <c r="U270" i="2" s="1"/>
  <c r="V270" i="2" s="1"/>
  <c r="N270" i="2"/>
  <c r="L270" i="2"/>
  <c r="I270" i="2"/>
  <c r="J270" i="2" s="1"/>
  <c r="H270" i="2"/>
  <c r="F270" i="2"/>
  <c r="B270" i="2"/>
  <c r="P269" i="2"/>
  <c r="O269" i="2"/>
  <c r="U269" i="2" s="1"/>
  <c r="V269" i="2" s="1"/>
  <c r="N269" i="2"/>
  <c r="L269" i="2"/>
  <c r="I269" i="2"/>
  <c r="J269" i="2" s="1"/>
  <c r="H269" i="2"/>
  <c r="F269" i="2"/>
  <c r="B269" i="2"/>
  <c r="P268" i="2"/>
  <c r="L268" i="2"/>
  <c r="J268" i="2"/>
  <c r="I268" i="2"/>
  <c r="H268" i="2"/>
  <c r="F268" i="2"/>
  <c r="B268" i="2"/>
  <c r="P267" i="2"/>
  <c r="L267" i="2"/>
  <c r="O267" i="2" s="1"/>
  <c r="U267" i="2" s="1"/>
  <c r="V267" i="2" s="1"/>
  <c r="J267" i="2"/>
  <c r="I267" i="2"/>
  <c r="H267" i="2"/>
  <c r="F267" i="2"/>
  <c r="B267" i="2"/>
  <c r="P266" i="2"/>
  <c r="O266" i="2"/>
  <c r="U266" i="2" s="1"/>
  <c r="V266" i="2" s="1"/>
  <c r="N266" i="2"/>
  <c r="L266" i="2"/>
  <c r="I266" i="2"/>
  <c r="J266" i="2" s="1"/>
  <c r="H266" i="2"/>
  <c r="F266" i="2"/>
  <c r="B266" i="2"/>
  <c r="P265" i="2"/>
  <c r="O265" i="2"/>
  <c r="U265" i="2" s="1"/>
  <c r="V265" i="2" s="1"/>
  <c r="N265" i="2"/>
  <c r="L265" i="2"/>
  <c r="I265" i="2"/>
  <c r="J265" i="2" s="1"/>
  <c r="H265" i="2"/>
  <c r="F265" i="2"/>
  <c r="B265" i="2"/>
  <c r="P264" i="2"/>
  <c r="L264" i="2"/>
  <c r="J264" i="2"/>
  <c r="I264" i="2"/>
  <c r="H264" i="2"/>
  <c r="F264" i="2"/>
  <c r="B264" i="2"/>
  <c r="P263" i="2"/>
  <c r="L263" i="2"/>
  <c r="O263" i="2" s="1"/>
  <c r="U263" i="2" s="1"/>
  <c r="V263" i="2" s="1"/>
  <c r="J263" i="2"/>
  <c r="I263" i="2"/>
  <c r="H263" i="2"/>
  <c r="F263" i="2"/>
  <c r="B263" i="2"/>
  <c r="P262" i="2"/>
  <c r="O262" i="2"/>
  <c r="U262" i="2" s="1"/>
  <c r="V262" i="2" s="1"/>
  <c r="N262" i="2"/>
  <c r="L262" i="2"/>
  <c r="I262" i="2"/>
  <c r="J262" i="2" s="1"/>
  <c r="H262" i="2"/>
  <c r="F262" i="2"/>
  <c r="B262" i="2"/>
  <c r="P261" i="2"/>
  <c r="O261" i="2"/>
  <c r="U261" i="2" s="1"/>
  <c r="V261" i="2" s="1"/>
  <c r="N261" i="2"/>
  <c r="L261" i="2"/>
  <c r="I261" i="2"/>
  <c r="J261" i="2" s="1"/>
  <c r="H261" i="2"/>
  <c r="F261" i="2"/>
  <c r="B261" i="2"/>
  <c r="P260" i="2"/>
  <c r="L260" i="2"/>
  <c r="J260" i="2"/>
  <c r="I260" i="2"/>
  <c r="H260" i="2"/>
  <c r="F260" i="2"/>
  <c r="B260" i="2"/>
  <c r="P259" i="2"/>
  <c r="L259" i="2"/>
  <c r="O259" i="2" s="1"/>
  <c r="U259" i="2" s="1"/>
  <c r="V259" i="2" s="1"/>
  <c r="J259" i="2"/>
  <c r="I259" i="2"/>
  <c r="H259" i="2"/>
  <c r="F259" i="2"/>
  <c r="B259" i="2"/>
  <c r="P258" i="2"/>
  <c r="O258" i="2"/>
  <c r="U258" i="2" s="1"/>
  <c r="V258" i="2" s="1"/>
  <c r="N258" i="2"/>
  <c r="L258" i="2"/>
  <c r="I258" i="2"/>
  <c r="J258" i="2" s="1"/>
  <c r="H258" i="2"/>
  <c r="F258" i="2"/>
  <c r="B258" i="2"/>
  <c r="P257" i="2"/>
  <c r="O257" i="2"/>
  <c r="U257" i="2" s="1"/>
  <c r="V257" i="2" s="1"/>
  <c r="N257" i="2"/>
  <c r="L257" i="2"/>
  <c r="I257" i="2"/>
  <c r="J257" i="2" s="1"/>
  <c r="H257" i="2"/>
  <c r="F257" i="2"/>
  <c r="B257" i="2"/>
  <c r="P256" i="2"/>
  <c r="L256" i="2"/>
  <c r="J256" i="2"/>
  <c r="I256" i="2"/>
  <c r="H256" i="2"/>
  <c r="F256" i="2"/>
  <c r="B256" i="2"/>
  <c r="P255" i="2"/>
  <c r="L255" i="2"/>
  <c r="O255" i="2" s="1"/>
  <c r="U255" i="2" s="1"/>
  <c r="V255" i="2" s="1"/>
  <c r="J255" i="2"/>
  <c r="I255" i="2"/>
  <c r="H255" i="2"/>
  <c r="F255" i="2"/>
  <c r="B255" i="2"/>
  <c r="P254" i="2"/>
  <c r="O254" i="2"/>
  <c r="U254" i="2" s="1"/>
  <c r="V254" i="2" s="1"/>
  <c r="N254" i="2"/>
  <c r="L254" i="2"/>
  <c r="I254" i="2"/>
  <c r="J254" i="2" s="1"/>
  <c r="H254" i="2"/>
  <c r="F254" i="2"/>
  <c r="B254" i="2"/>
  <c r="P253" i="2"/>
  <c r="O253" i="2"/>
  <c r="U253" i="2" s="1"/>
  <c r="V253" i="2" s="1"/>
  <c r="N253" i="2"/>
  <c r="L253" i="2"/>
  <c r="I253" i="2"/>
  <c r="J253" i="2" s="1"/>
  <c r="H253" i="2"/>
  <c r="F253" i="2"/>
  <c r="B253" i="2"/>
  <c r="P252" i="2"/>
  <c r="L252" i="2"/>
  <c r="J252" i="2"/>
  <c r="I252" i="2"/>
  <c r="H252" i="2"/>
  <c r="F252" i="2"/>
  <c r="B252" i="2"/>
  <c r="P251" i="2"/>
  <c r="L251" i="2"/>
  <c r="O251" i="2" s="1"/>
  <c r="U251" i="2" s="1"/>
  <c r="V251" i="2" s="1"/>
  <c r="J251" i="2"/>
  <c r="I251" i="2"/>
  <c r="H251" i="2"/>
  <c r="F251" i="2"/>
  <c r="B251" i="2"/>
  <c r="P250" i="2"/>
  <c r="O250" i="2"/>
  <c r="U250" i="2" s="1"/>
  <c r="V250" i="2" s="1"/>
  <c r="N250" i="2"/>
  <c r="L250" i="2"/>
  <c r="I250" i="2"/>
  <c r="J250" i="2" s="1"/>
  <c r="H250" i="2"/>
  <c r="F250" i="2"/>
  <c r="B250" i="2"/>
  <c r="P249" i="2"/>
  <c r="O249" i="2"/>
  <c r="U249" i="2" s="1"/>
  <c r="V249" i="2" s="1"/>
  <c r="N249" i="2"/>
  <c r="L249" i="2"/>
  <c r="I249" i="2"/>
  <c r="J249" i="2" s="1"/>
  <c r="H249" i="2"/>
  <c r="F249" i="2"/>
  <c r="B249" i="2"/>
  <c r="P248" i="2"/>
  <c r="L248" i="2"/>
  <c r="J248" i="2"/>
  <c r="I248" i="2"/>
  <c r="H248" i="2"/>
  <c r="F248" i="2"/>
  <c r="B248" i="2"/>
  <c r="P247" i="2"/>
  <c r="L247" i="2"/>
  <c r="O247" i="2" s="1"/>
  <c r="U247" i="2" s="1"/>
  <c r="V247" i="2" s="1"/>
  <c r="J247" i="2"/>
  <c r="I247" i="2"/>
  <c r="H247" i="2"/>
  <c r="F247" i="2"/>
  <c r="B247" i="2"/>
  <c r="P246" i="2"/>
  <c r="O246" i="2"/>
  <c r="U246" i="2" s="1"/>
  <c r="V246" i="2" s="1"/>
  <c r="N246" i="2"/>
  <c r="L246" i="2"/>
  <c r="I246" i="2"/>
  <c r="J246" i="2" s="1"/>
  <c r="H246" i="2"/>
  <c r="F246" i="2"/>
  <c r="B246" i="2"/>
  <c r="P245" i="2"/>
  <c r="O245" i="2"/>
  <c r="U245" i="2" s="1"/>
  <c r="V245" i="2" s="1"/>
  <c r="N245" i="2"/>
  <c r="L245" i="2"/>
  <c r="I245" i="2"/>
  <c r="J245" i="2" s="1"/>
  <c r="H245" i="2"/>
  <c r="F245" i="2"/>
  <c r="B245" i="2"/>
  <c r="P244" i="2"/>
  <c r="L244" i="2"/>
  <c r="J244" i="2"/>
  <c r="I244" i="2"/>
  <c r="H244" i="2"/>
  <c r="F244" i="2"/>
  <c r="B244" i="2"/>
  <c r="P243" i="2"/>
  <c r="L243" i="2"/>
  <c r="O243" i="2" s="1"/>
  <c r="U243" i="2" s="1"/>
  <c r="V243" i="2" s="1"/>
  <c r="J243" i="2"/>
  <c r="I243" i="2"/>
  <c r="H243" i="2"/>
  <c r="F243" i="2"/>
  <c r="B243" i="2"/>
  <c r="P242" i="2"/>
  <c r="O242" i="2"/>
  <c r="U242" i="2" s="1"/>
  <c r="V242" i="2" s="1"/>
  <c r="N242" i="2"/>
  <c r="L242" i="2"/>
  <c r="I242" i="2"/>
  <c r="J242" i="2" s="1"/>
  <c r="H242" i="2"/>
  <c r="F242" i="2"/>
  <c r="B242" i="2"/>
  <c r="P241" i="2"/>
  <c r="O241" i="2"/>
  <c r="U241" i="2" s="1"/>
  <c r="V241" i="2" s="1"/>
  <c r="N241" i="2"/>
  <c r="L241" i="2"/>
  <c r="I241" i="2"/>
  <c r="J241" i="2" s="1"/>
  <c r="H241" i="2"/>
  <c r="F241" i="2"/>
  <c r="B241" i="2"/>
  <c r="P240" i="2"/>
  <c r="L240" i="2"/>
  <c r="J240" i="2"/>
  <c r="I240" i="2"/>
  <c r="H240" i="2"/>
  <c r="F240" i="2"/>
  <c r="B240" i="2"/>
  <c r="P239" i="2"/>
  <c r="L239" i="2"/>
  <c r="O239" i="2" s="1"/>
  <c r="U239" i="2" s="1"/>
  <c r="V239" i="2" s="1"/>
  <c r="J239" i="2"/>
  <c r="I239" i="2"/>
  <c r="H239" i="2"/>
  <c r="F239" i="2"/>
  <c r="B239" i="2"/>
  <c r="P238" i="2"/>
  <c r="O238" i="2"/>
  <c r="U238" i="2" s="1"/>
  <c r="V238" i="2" s="1"/>
  <c r="N238" i="2"/>
  <c r="L238" i="2"/>
  <c r="I238" i="2"/>
  <c r="J238" i="2" s="1"/>
  <c r="H238" i="2"/>
  <c r="F238" i="2"/>
  <c r="B238" i="2"/>
  <c r="P237" i="2"/>
  <c r="O237" i="2"/>
  <c r="U237" i="2" s="1"/>
  <c r="V237" i="2" s="1"/>
  <c r="N237" i="2"/>
  <c r="L237" i="2"/>
  <c r="I237" i="2"/>
  <c r="J237" i="2" s="1"/>
  <c r="H237" i="2"/>
  <c r="F237" i="2"/>
  <c r="B237" i="2"/>
  <c r="P236" i="2"/>
  <c r="L236" i="2"/>
  <c r="J236" i="2"/>
  <c r="I236" i="2"/>
  <c r="H236" i="2"/>
  <c r="F236" i="2"/>
  <c r="B236" i="2"/>
  <c r="P235" i="2"/>
  <c r="L235" i="2"/>
  <c r="O235" i="2" s="1"/>
  <c r="U235" i="2" s="1"/>
  <c r="V235" i="2" s="1"/>
  <c r="J235" i="2"/>
  <c r="I235" i="2"/>
  <c r="H235" i="2"/>
  <c r="F235" i="2"/>
  <c r="B235" i="2"/>
  <c r="P234" i="2"/>
  <c r="O234" i="2"/>
  <c r="U234" i="2" s="1"/>
  <c r="V234" i="2" s="1"/>
  <c r="N234" i="2"/>
  <c r="L234" i="2"/>
  <c r="I234" i="2"/>
  <c r="J234" i="2" s="1"/>
  <c r="H234" i="2"/>
  <c r="F234" i="2"/>
  <c r="B234" i="2"/>
  <c r="P233" i="2"/>
  <c r="O233" i="2"/>
  <c r="U233" i="2" s="1"/>
  <c r="V233" i="2" s="1"/>
  <c r="N233" i="2"/>
  <c r="L233" i="2"/>
  <c r="I233" i="2"/>
  <c r="J233" i="2" s="1"/>
  <c r="H233" i="2"/>
  <c r="F233" i="2"/>
  <c r="B233" i="2"/>
  <c r="P232" i="2"/>
  <c r="L232" i="2"/>
  <c r="J232" i="2"/>
  <c r="I232" i="2"/>
  <c r="H232" i="2"/>
  <c r="F232" i="2"/>
  <c r="B232" i="2"/>
  <c r="P231" i="2"/>
  <c r="L231" i="2"/>
  <c r="O231" i="2" s="1"/>
  <c r="U231" i="2" s="1"/>
  <c r="V231" i="2" s="1"/>
  <c r="J231" i="2"/>
  <c r="I231" i="2"/>
  <c r="H231" i="2"/>
  <c r="F231" i="2"/>
  <c r="B231" i="2"/>
  <c r="P230" i="2"/>
  <c r="O230" i="2"/>
  <c r="U230" i="2" s="1"/>
  <c r="V230" i="2" s="1"/>
  <c r="N230" i="2"/>
  <c r="L230" i="2"/>
  <c r="I230" i="2"/>
  <c r="J230" i="2" s="1"/>
  <c r="H230" i="2"/>
  <c r="F230" i="2"/>
  <c r="B230" i="2"/>
  <c r="P229" i="2"/>
  <c r="O229" i="2"/>
  <c r="U229" i="2" s="1"/>
  <c r="V229" i="2" s="1"/>
  <c r="N229" i="2"/>
  <c r="L229" i="2"/>
  <c r="I229" i="2"/>
  <c r="J229" i="2" s="1"/>
  <c r="H229" i="2"/>
  <c r="F229" i="2"/>
  <c r="B229" i="2"/>
  <c r="P228" i="2"/>
  <c r="L228" i="2"/>
  <c r="J228" i="2"/>
  <c r="I228" i="2"/>
  <c r="H228" i="2"/>
  <c r="F228" i="2"/>
  <c r="B228" i="2"/>
  <c r="P227" i="2"/>
  <c r="L227" i="2"/>
  <c r="O227" i="2" s="1"/>
  <c r="U227" i="2" s="1"/>
  <c r="V227" i="2" s="1"/>
  <c r="J227" i="2"/>
  <c r="I227" i="2"/>
  <c r="H227" i="2"/>
  <c r="F227" i="2"/>
  <c r="B227" i="2"/>
  <c r="P226" i="2"/>
  <c r="O226" i="2"/>
  <c r="U226" i="2" s="1"/>
  <c r="V226" i="2" s="1"/>
  <c r="N226" i="2"/>
  <c r="L226" i="2"/>
  <c r="I226" i="2"/>
  <c r="J226" i="2" s="1"/>
  <c r="H226" i="2"/>
  <c r="F226" i="2"/>
  <c r="B226" i="2"/>
  <c r="P225" i="2"/>
  <c r="O225" i="2"/>
  <c r="U225" i="2" s="1"/>
  <c r="V225" i="2" s="1"/>
  <c r="N225" i="2"/>
  <c r="L225" i="2"/>
  <c r="I225" i="2"/>
  <c r="J225" i="2" s="1"/>
  <c r="H225" i="2"/>
  <c r="F225" i="2"/>
  <c r="B225" i="2"/>
  <c r="P224" i="2"/>
  <c r="L224" i="2"/>
  <c r="J224" i="2"/>
  <c r="I224" i="2"/>
  <c r="H224" i="2"/>
  <c r="F224" i="2"/>
  <c r="B224" i="2"/>
  <c r="P223" i="2"/>
  <c r="L223" i="2"/>
  <c r="O223" i="2" s="1"/>
  <c r="U223" i="2" s="1"/>
  <c r="V223" i="2" s="1"/>
  <c r="J223" i="2"/>
  <c r="I223" i="2"/>
  <c r="H223" i="2"/>
  <c r="F223" i="2"/>
  <c r="B223" i="2"/>
  <c r="P222" i="2"/>
  <c r="O222" i="2"/>
  <c r="U222" i="2" s="1"/>
  <c r="V222" i="2" s="1"/>
  <c r="N222" i="2"/>
  <c r="L222" i="2"/>
  <c r="I222" i="2"/>
  <c r="J222" i="2" s="1"/>
  <c r="H222" i="2"/>
  <c r="F222" i="2"/>
  <c r="B222" i="2"/>
  <c r="P221" i="2"/>
  <c r="O221" i="2"/>
  <c r="U221" i="2" s="1"/>
  <c r="V221" i="2" s="1"/>
  <c r="N221" i="2"/>
  <c r="L221" i="2"/>
  <c r="I221" i="2"/>
  <c r="J221" i="2" s="1"/>
  <c r="H221" i="2"/>
  <c r="F221" i="2"/>
  <c r="B221" i="2"/>
  <c r="P220" i="2"/>
  <c r="L220" i="2"/>
  <c r="J220" i="2"/>
  <c r="I220" i="2"/>
  <c r="H220" i="2"/>
  <c r="F220" i="2"/>
  <c r="B220" i="2"/>
  <c r="P219" i="2"/>
  <c r="L219" i="2"/>
  <c r="O219" i="2" s="1"/>
  <c r="U219" i="2" s="1"/>
  <c r="V219" i="2" s="1"/>
  <c r="J219" i="2"/>
  <c r="I219" i="2"/>
  <c r="H219" i="2"/>
  <c r="F219" i="2"/>
  <c r="B219" i="2"/>
  <c r="P218" i="2"/>
  <c r="O218" i="2"/>
  <c r="U218" i="2" s="1"/>
  <c r="V218" i="2" s="1"/>
  <c r="N218" i="2"/>
  <c r="L218" i="2"/>
  <c r="I218" i="2"/>
  <c r="J218" i="2" s="1"/>
  <c r="H218" i="2"/>
  <c r="F218" i="2"/>
  <c r="B218" i="2"/>
  <c r="P217" i="2"/>
  <c r="O217" i="2"/>
  <c r="U217" i="2" s="1"/>
  <c r="V217" i="2" s="1"/>
  <c r="N217" i="2"/>
  <c r="L217" i="2"/>
  <c r="I217" i="2"/>
  <c r="J217" i="2" s="1"/>
  <c r="H217" i="2"/>
  <c r="F217" i="2"/>
  <c r="B217" i="2"/>
  <c r="P216" i="2"/>
  <c r="L216" i="2"/>
  <c r="J216" i="2"/>
  <c r="I216" i="2"/>
  <c r="H216" i="2"/>
  <c r="F216" i="2"/>
  <c r="B216" i="2"/>
  <c r="P215" i="2"/>
  <c r="L215" i="2"/>
  <c r="O215" i="2" s="1"/>
  <c r="U215" i="2" s="1"/>
  <c r="V215" i="2" s="1"/>
  <c r="J215" i="2"/>
  <c r="I215" i="2"/>
  <c r="H215" i="2"/>
  <c r="F215" i="2"/>
  <c r="B215" i="2"/>
  <c r="P214" i="2"/>
  <c r="O214" i="2"/>
  <c r="U214" i="2" s="1"/>
  <c r="V214" i="2" s="1"/>
  <c r="N214" i="2"/>
  <c r="L214" i="2"/>
  <c r="I214" i="2"/>
  <c r="J214" i="2" s="1"/>
  <c r="H214" i="2"/>
  <c r="F214" i="2"/>
  <c r="B214" i="2"/>
  <c r="P213" i="2"/>
  <c r="O213" i="2"/>
  <c r="U213" i="2" s="1"/>
  <c r="V213" i="2" s="1"/>
  <c r="N213" i="2"/>
  <c r="L213" i="2"/>
  <c r="I213" i="2"/>
  <c r="J213" i="2" s="1"/>
  <c r="H213" i="2"/>
  <c r="F213" i="2"/>
  <c r="B213" i="2"/>
  <c r="P212" i="2"/>
  <c r="L212" i="2"/>
  <c r="J212" i="2"/>
  <c r="I212" i="2"/>
  <c r="H212" i="2"/>
  <c r="F212" i="2"/>
  <c r="B212" i="2"/>
  <c r="P211" i="2"/>
  <c r="L211" i="2"/>
  <c r="O211" i="2" s="1"/>
  <c r="U211" i="2" s="1"/>
  <c r="V211" i="2" s="1"/>
  <c r="J211" i="2"/>
  <c r="I211" i="2"/>
  <c r="H211" i="2"/>
  <c r="F211" i="2"/>
  <c r="B211" i="2"/>
  <c r="P210" i="2"/>
  <c r="O210" i="2"/>
  <c r="U210" i="2" s="1"/>
  <c r="V210" i="2" s="1"/>
  <c r="N210" i="2"/>
  <c r="L210" i="2"/>
  <c r="I210" i="2"/>
  <c r="J210" i="2" s="1"/>
  <c r="H210" i="2"/>
  <c r="F210" i="2"/>
  <c r="B210" i="2"/>
  <c r="P209" i="2"/>
  <c r="O209" i="2"/>
  <c r="U209" i="2" s="1"/>
  <c r="V209" i="2" s="1"/>
  <c r="N209" i="2"/>
  <c r="L209" i="2"/>
  <c r="I209" i="2"/>
  <c r="J209" i="2" s="1"/>
  <c r="H209" i="2"/>
  <c r="F209" i="2"/>
  <c r="B209" i="2"/>
  <c r="P208" i="2"/>
  <c r="L208" i="2"/>
  <c r="J208" i="2"/>
  <c r="I208" i="2"/>
  <c r="H208" i="2"/>
  <c r="F208" i="2"/>
  <c r="B208" i="2"/>
  <c r="P207" i="2"/>
  <c r="L207" i="2"/>
  <c r="O207" i="2" s="1"/>
  <c r="U207" i="2" s="1"/>
  <c r="V207" i="2" s="1"/>
  <c r="J207" i="2"/>
  <c r="I207" i="2"/>
  <c r="H207" i="2"/>
  <c r="F207" i="2"/>
  <c r="B207" i="2"/>
  <c r="P206" i="2"/>
  <c r="O206" i="2"/>
  <c r="U206" i="2" s="1"/>
  <c r="V206" i="2" s="1"/>
  <c r="N206" i="2"/>
  <c r="L206" i="2"/>
  <c r="I206" i="2"/>
  <c r="J206" i="2" s="1"/>
  <c r="H206" i="2"/>
  <c r="F206" i="2"/>
  <c r="B206" i="2"/>
  <c r="P205" i="2"/>
  <c r="O205" i="2"/>
  <c r="U205" i="2" s="1"/>
  <c r="V205" i="2" s="1"/>
  <c r="N205" i="2"/>
  <c r="L205" i="2"/>
  <c r="I205" i="2"/>
  <c r="J205" i="2" s="1"/>
  <c r="H205" i="2"/>
  <c r="F205" i="2"/>
  <c r="B205" i="2"/>
  <c r="P204" i="2"/>
  <c r="L204" i="2"/>
  <c r="J204" i="2"/>
  <c r="I204" i="2"/>
  <c r="H204" i="2"/>
  <c r="F204" i="2"/>
  <c r="B204" i="2"/>
  <c r="P203" i="2"/>
  <c r="L203" i="2"/>
  <c r="O203" i="2" s="1"/>
  <c r="U203" i="2" s="1"/>
  <c r="V203" i="2" s="1"/>
  <c r="J203" i="2"/>
  <c r="I203" i="2"/>
  <c r="H203" i="2"/>
  <c r="F203" i="2"/>
  <c r="B203" i="2"/>
  <c r="P202" i="2"/>
  <c r="O202" i="2"/>
  <c r="U202" i="2" s="1"/>
  <c r="V202" i="2" s="1"/>
  <c r="N202" i="2"/>
  <c r="L202" i="2"/>
  <c r="I202" i="2"/>
  <c r="J202" i="2" s="1"/>
  <c r="H202" i="2"/>
  <c r="F202" i="2"/>
  <c r="B202" i="2"/>
  <c r="P201" i="2"/>
  <c r="O201" i="2"/>
  <c r="U201" i="2" s="1"/>
  <c r="V201" i="2" s="1"/>
  <c r="N201" i="2"/>
  <c r="L201" i="2"/>
  <c r="I201" i="2"/>
  <c r="J201" i="2" s="1"/>
  <c r="H201" i="2"/>
  <c r="F201" i="2"/>
  <c r="B201" i="2"/>
  <c r="P200" i="2"/>
  <c r="L200" i="2"/>
  <c r="J200" i="2"/>
  <c r="I200" i="2"/>
  <c r="H200" i="2"/>
  <c r="F200" i="2"/>
  <c r="B200" i="2"/>
  <c r="P199" i="2"/>
  <c r="L199" i="2"/>
  <c r="O199" i="2" s="1"/>
  <c r="U199" i="2" s="1"/>
  <c r="V199" i="2" s="1"/>
  <c r="J199" i="2"/>
  <c r="I199" i="2"/>
  <c r="H199" i="2"/>
  <c r="F199" i="2"/>
  <c r="B199" i="2"/>
  <c r="P198" i="2"/>
  <c r="O198" i="2"/>
  <c r="U198" i="2" s="1"/>
  <c r="V198" i="2" s="1"/>
  <c r="N198" i="2"/>
  <c r="L198" i="2"/>
  <c r="J198" i="2"/>
  <c r="I198" i="2"/>
  <c r="H198" i="2"/>
  <c r="F198" i="2"/>
  <c r="B198" i="2"/>
  <c r="P197" i="2"/>
  <c r="O197" i="2"/>
  <c r="U197" i="2" s="1"/>
  <c r="V197" i="2" s="1"/>
  <c r="N197" i="2"/>
  <c r="L197" i="2"/>
  <c r="I197" i="2"/>
  <c r="J197" i="2" s="1"/>
  <c r="H197" i="2"/>
  <c r="F197" i="2"/>
  <c r="B197" i="2"/>
  <c r="P196" i="2"/>
  <c r="N196" i="2"/>
  <c r="L196" i="2"/>
  <c r="O196" i="2" s="1"/>
  <c r="U196" i="2" s="1"/>
  <c r="V196" i="2" s="1"/>
  <c r="J196" i="2"/>
  <c r="I196" i="2"/>
  <c r="H196" i="2"/>
  <c r="F196" i="2"/>
  <c r="B196" i="2"/>
  <c r="P195" i="2"/>
  <c r="L195" i="2"/>
  <c r="J195" i="2"/>
  <c r="I195" i="2"/>
  <c r="H195" i="2"/>
  <c r="F195" i="2"/>
  <c r="B195" i="2"/>
  <c r="P194" i="2"/>
  <c r="O194" i="2"/>
  <c r="U194" i="2" s="1"/>
  <c r="V194" i="2" s="1"/>
  <c r="N194" i="2"/>
  <c r="L194" i="2"/>
  <c r="J194" i="2"/>
  <c r="I194" i="2"/>
  <c r="H194" i="2"/>
  <c r="F194" i="2"/>
  <c r="B194" i="2"/>
  <c r="P193" i="2"/>
  <c r="O193" i="2"/>
  <c r="U193" i="2" s="1"/>
  <c r="V193" i="2" s="1"/>
  <c r="N193" i="2"/>
  <c r="L193" i="2"/>
  <c r="I193" i="2"/>
  <c r="J193" i="2" s="1"/>
  <c r="H193" i="2"/>
  <c r="F193" i="2"/>
  <c r="B193" i="2"/>
  <c r="P192" i="2"/>
  <c r="N192" i="2"/>
  <c r="L192" i="2"/>
  <c r="O192" i="2" s="1"/>
  <c r="U192" i="2" s="1"/>
  <c r="V192" i="2" s="1"/>
  <c r="J192" i="2"/>
  <c r="I192" i="2"/>
  <c r="H192" i="2"/>
  <c r="F192" i="2"/>
  <c r="B192" i="2"/>
  <c r="P191" i="2"/>
  <c r="L191" i="2"/>
  <c r="J191" i="2"/>
  <c r="I191" i="2"/>
  <c r="H191" i="2"/>
  <c r="F191" i="2"/>
  <c r="B191" i="2"/>
  <c r="P190" i="2"/>
  <c r="O190" i="2"/>
  <c r="U190" i="2" s="1"/>
  <c r="V190" i="2" s="1"/>
  <c r="N190" i="2"/>
  <c r="L190" i="2"/>
  <c r="J190" i="2"/>
  <c r="I190" i="2"/>
  <c r="H190" i="2"/>
  <c r="F190" i="2"/>
  <c r="B190" i="2"/>
  <c r="P189" i="2"/>
  <c r="O189" i="2"/>
  <c r="U189" i="2" s="1"/>
  <c r="V189" i="2" s="1"/>
  <c r="N189" i="2"/>
  <c r="L189" i="2"/>
  <c r="I189" i="2"/>
  <c r="J189" i="2" s="1"/>
  <c r="H189" i="2"/>
  <c r="F189" i="2"/>
  <c r="B189" i="2"/>
  <c r="P188" i="2"/>
  <c r="N188" i="2"/>
  <c r="L188" i="2"/>
  <c r="O188" i="2" s="1"/>
  <c r="U188" i="2" s="1"/>
  <c r="V188" i="2" s="1"/>
  <c r="J188" i="2"/>
  <c r="I188" i="2"/>
  <c r="H188" i="2"/>
  <c r="F188" i="2"/>
  <c r="B188" i="2"/>
  <c r="P187" i="2"/>
  <c r="L187" i="2"/>
  <c r="J187" i="2"/>
  <c r="I187" i="2"/>
  <c r="H187" i="2"/>
  <c r="F187" i="2"/>
  <c r="B187" i="2"/>
  <c r="P186" i="2"/>
  <c r="O186" i="2"/>
  <c r="U186" i="2" s="1"/>
  <c r="V186" i="2" s="1"/>
  <c r="N186" i="2"/>
  <c r="L186" i="2"/>
  <c r="J186" i="2"/>
  <c r="I186" i="2"/>
  <c r="H186" i="2"/>
  <c r="F186" i="2"/>
  <c r="B186" i="2"/>
  <c r="P185" i="2"/>
  <c r="O185" i="2"/>
  <c r="U185" i="2" s="1"/>
  <c r="V185" i="2" s="1"/>
  <c r="N185" i="2"/>
  <c r="L185" i="2"/>
  <c r="I185" i="2"/>
  <c r="J185" i="2" s="1"/>
  <c r="H185" i="2"/>
  <c r="F185" i="2"/>
  <c r="B185" i="2"/>
  <c r="P184" i="2"/>
  <c r="N184" i="2"/>
  <c r="L184" i="2"/>
  <c r="O184" i="2" s="1"/>
  <c r="U184" i="2" s="1"/>
  <c r="V184" i="2" s="1"/>
  <c r="J184" i="2"/>
  <c r="I184" i="2"/>
  <c r="H184" i="2"/>
  <c r="F184" i="2"/>
  <c r="B184" i="2"/>
  <c r="P183" i="2"/>
  <c r="O183" i="2"/>
  <c r="U183" i="2" s="1"/>
  <c r="V183" i="2" s="1"/>
  <c r="L183" i="2"/>
  <c r="N183" i="2" s="1"/>
  <c r="J183" i="2"/>
  <c r="I183" i="2"/>
  <c r="H183" i="2"/>
  <c r="F183" i="2"/>
  <c r="B183" i="2"/>
  <c r="P182" i="2"/>
  <c r="O182" i="2"/>
  <c r="U182" i="2" s="1"/>
  <c r="V182" i="2" s="1"/>
  <c r="N182" i="2"/>
  <c r="L182" i="2"/>
  <c r="J182" i="2"/>
  <c r="I182" i="2"/>
  <c r="H182" i="2"/>
  <c r="F182" i="2"/>
  <c r="B182" i="2"/>
  <c r="P181" i="2"/>
  <c r="L181" i="2"/>
  <c r="O181" i="2" s="1"/>
  <c r="U181" i="2" s="1"/>
  <c r="V181" i="2" s="1"/>
  <c r="I181" i="2"/>
  <c r="J181" i="2" s="1"/>
  <c r="H181" i="2"/>
  <c r="F181" i="2"/>
  <c r="B181" i="2"/>
  <c r="P180" i="2"/>
  <c r="N180" i="2"/>
  <c r="L180" i="2"/>
  <c r="O180" i="2" s="1"/>
  <c r="U180" i="2" s="1"/>
  <c r="V180" i="2" s="1"/>
  <c r="J180" i="2"/>
  <c r="I180" i="2"/>
  <c r="H180" i="2"/>
  <c r="F180" i="2"/>
  <c r="B180" i="2"/>
  <c r="P179" i="2"/>
  <c r="O179" i="2"/>
  <c r="U179" i="2" s="1"/>
  <c r="V179" i="2" s="1"/>
  <c r="L179" i="2"/>
  <c r="N179" i="2" s="1"/>
  <c r="I179" i="2"/>
  <c r="J179" i="2" s="1"/>
  <c r="H179" i="2"/>
  <c r="F179" i="2"/>
  <c r="B179" i="2"/>
  <c r="P178" i="2"/>
  <c r="O178" i="2"/>
  <c r="U178" i="2" s="1"/>
  <c r="V178" i="2" s="1"/>
  <c r="N178" i="2"/>
  <c r="L178" i="2"/>
  <c r="J178" i="2"/>
  <c r="I178" i="2"/>
  <c r="H178" i="2"/>
  <c r="F178" i="2"/>
  <c r="B178" i="2"/>
  <c r="P177" i="2"/>
  <c r="O177" i="2"/>
  <c r="U177" i="2" s="1"/>
  <c r="V177" i="2" s="1"/>
  <c r="N177" i="2"/>
  <c r="L177" i="2"/>
  <c r="I177" i="2"/>
  <c r="J177" i="2" s="1"/>
  <c r="H177" i="2"/>
  <c r="F177" i="2"/>
  <c r="B177" i="2"/>
  <c r="P176" i="2"/>
  <c r="L176" i="2"/>
  <c r="O176" i="2" s="1"/>
  <c r="U176" i="2" s="1"/>
  <c r="V176" i="2" s="1"/>
  <c r="J176" i="2"/>
  <c r="I176" i="2"/>
  <c r="H176" i="2"/>
  <c r="F176" i="2"/>
  <c r="B176" i="2"/>
  <c r="P175" i="2"/>
  <c r="O175" i="2"/>
  <c r="U175" i="2" s="1"/>
  <c r="V175" i="2" s="1"/>
  <c r="L175" i="2"/>
  <c r="N175" i="2" s="1"/>
  <c r="J175" i="2"/>
  <c r="I175" i="2"/>
  <c r="H175" i="2"/>
  <c r="F175" i="2"/>
  <c r="B175" i="2"/>
  <c r="P174" i="2"/>
  <c r="O174" i="2"/>
  <c r="U174" i="2" s="1"/>
  <c r="V174" i="2" s="1"/>
  <c r="N174" i="2"/>
  <c r="L174" i="2"/>
  <c r="J174" i="2"/>
  <c r="I174" i="2"/>
  <c r="H174" i="2"/>
  <c r="F174" i="2"/>
  <c r="B174" i="2"/>
  <c r="P173" i="2"/>
  <c r="O173" i="2"/>
  <c r="U173" i="2" s="1"/>
  <c r="V173" i="2" s="1"/>
  <c r="N173" i="2"/>
  <c r="L173" i="2"/>
  <c r="I173" i="2"/>
  <c r="J173" i="2" s="1"/>
  <c r="H173" i="2"/>
  <c r="F173" i="2"/>
  <c r="B173" i="2"/>
  <c r="P172" i="2"/>
  <c r="N172" i="2"/>
  <c r="L172" i="2"/>
  <c r="O172" i="2" s="1"/>
  <c r="U172" i="2" s="1"/>
  <c r="V172" i="2" s="1"/>
  <c r="J172" i="2"/>
  <c r="I172" i="2"/>
  <c r="H172" i="2"/>
  <c r="F172" i="2"/>
  <c r="B172" i="2"/>
  <c r="P171" i="2"/>
  <c r="L171" i="2"/>
  <c r="N171" i="2" s="1"/>
  <c r="J171" i="2"/>
  <c r="I171" i="2"/>
  <c r="H171" i="2"/>
  <c r="F171" i="2"/>
  <c r="B171" i="2"/>
  <c r="P170" i="2"/>
  <c r="O170" i="2"/>
  <c r="U170" i="2" s="1"/>
  <c r="V170" i="2" s="1"/>
  <c r="N170" i="2"/>
  <c r="L170" i="2"/>
  <c r="I170" i="2"/>
  <c r="J170" i="2" s="1"/>
  <c r="H170" i="2"/>
  <c r="F170" i="2"/>
  <c r="B170" i="2"/>
  <c r="P169" i="2"/>
  <c r="N169" i="2"/>
  <c r="L169" i="2"/>
  <c r="O169" i="2" s="1"/>
  <c r="U169" i="2" s="1"/>
  <c r="V169" i="2" s="1"/>
  <c r="I169" i="2"/>
  <c r="J169" i="2" s="1"/>
  <c r="H169" i="2"/>
  <c r="F169" i="2"/>
  <c r="B169" i="2"/>
  <c r="P168" i="2"/>
  <c r="N168" i="2"/>
  <c r="L168" i="2"/>
  <c r="O168" i="2" s="1"/>
  <c r="U168" i="2" s="1"/>
  <c r="V168" i="2" s="1"/>
  <c r="J168" i="2"/>
  <c r="I168" i="2"/>
  <c r="H168" i="2"/>
  <c r="F168" i="2"/>
  <c r="B168" i="2"/>
  <c r="P167" i="2"/>
  <c r="O167" i="2"/>
  <c r="U167" i="2" s="1"/>
  <c r="V167" i="2" s="1"/>
  <c r="L167" i="2"/>
  <c r="N167" i="2" s="1"/>
  <c r="J167" i="2"/>
  <c r="I167" i="2"/>
  <c r="H167" i="2"/>
  <c r="F167" i="2"/>
  <c r="B167" i="2"/>
  <c r="P166" i="2"/>
  <c r="O166" i="2"/>
  <c r="U166" i="2" s="1"/>
  <c r="V166" i="2" s="1"/>
  <c r="N166" i="2"/>
  <c r="L166" i="2"/>
  <c r="J166" i="2"/>
  <c r="I166" i="2"/>
  <c r="H166" i="2"/>
  <c r="F166" i="2"/>
  <c r="B166" i="2"/>
  <c r="P165" i="2"/>
  <c r="L165" i="2"/>
  <c r="O165" i="2" s="1"/>
  <c r="U165" i="2" s="1"/>
  <c r="V165" i="2" s="1"/>
  <c r="I165" i="2"/>
  <c r="J165" i="2" s="1"/>
  <c r="H165" i="2"/>
  <c r="F165" i="2"/>
  <c r="B165" i="2"/>
  <c r="P164" i="2"/>
  <c r="N164" i="2"/>
  <c r="L164" i="2"/>
  <c r="O164" i="2" s="1"/>
  <c r="U164" i="2" s="1"/>
  <c r="V164" i="2" s="1"/>
  <c r="J164" i="2"/>
  <c r="I164" i="2"/>
  <c r="H164" i="2"/>
  <c r="F164" i="2"/>
  <c r="B164" i="2"/>
  <c r="P163" i="2"/>
  <c r="O163" i="2"/>
  <c r="U163" i="2" s="1"/>
  <c r="V163" i="2" s="1"/>
  <c r="L163" i="2"/>
  <c r="N163" i="2" s="1"/>
  <c r="I163" i="2"/>
  <c r="J163" i="2" s="1"/>
  <c r="H163" i="2"/>
  <c r="F163" i="2"/>
  <c r="B163" i="2"/>
  <c r="P162" i="2"/>
  <c r="O162" i="2"/>
  <c r="U162" i="2" s="1"/>
  <c r="V162" i="2" s="1"/>
  <c r="N162" i="2"/>
  <c r="L162" i="2"/>
  <c r="J162" i="2"/>
  <c r="I162" i="2"/>
  <c r="H162" i="2"/>
  <c r="F162" i="2"/>
  <c r="B162" i="2"/>
  <c r="P161" i="2"/>
  <c r="O161" i="2"/>
  <c r="U161" i="2" s="1"/>
  <c r="V161" i="2" s="1"/>
  <c r="N161" i="2"/>
  <c r="L161" i="2"/>
  <c r="I161" i="2"/>
  <c r="J161" i="2" s="1"/>
  <c r="H161" i="2"/>
  <c r="F161" i="2"/>
  <c r="B161" i="2"/>
  <c r="P160" i="2"/>
  <c r="L160" i="2"/>
  <c r="O160" i="2" s="1"/>
  <c r="U160" i="2" s="1"/>
  <c r="V160" i="2" s="1"/>
  <c r="J160" i="2"/>
  <c r="I160" i="2"/>
  <c r="H160" i="2"/>
  <c r="F160" i="2"/>
  <c r="B160" i="2"/>
  <c r="P159" i="2"/>
  <c r="O159" i="2"/>
  <c r="U159" i="2" s="1"/>
  <c r="V159" i="2" s="1"/>
  <c r="L159" i="2"/>
  <c r="N159" i="2" s="1"/>
  <c r="J159" i="2"/>
  <c r="I159" i="2"/>
  <c r="H159" i="2"/>
  <c r="F159" i="2"/>
  <c r="B159" i="2"/>
  <c r="P158" i="2"/>
  <c r="O158" i="2"/>
  <c r="U158" i="2" s="1"/>
  <c r="V158" i="2" s="1"/>
  <c r="N158" i="2"/>
  <c r="L158" i="2"/>
  <c r="J158" i="2"/>
  <c r="I158" i="2"/>
  <c r="H158" i="2"/>
  <c r="F158" i="2"/>
  <c r="B158" i="2"/>
  <c r="P157" i="2"/>
  <c r="O157" i="2"/>
  <c r="U157" i="2" s="1"/>
  <c r="V157" i="2" s="1"/>
  <c r="N157" i="2"/>
  <c r="L157" i="2"/>
  <c r="I157" i="2"/>
  <c r="J157" i="2" s="1"/>
  <c r="H157" i="2"/>
  <c r="F157" i="2"/>
  <c r="B157" i="2"/>
  <c r="P156" i="2"/>
  <c r="N156" i="2"/>
  <c r="L156" i="2"/>
  <c r="O156" i="2" s="1"/>
  <c r="U156" i="2" s="1"/>
  <c r="V156" i="2" s="1"/>
  <c r="J156" i="2"/>
  <c r="I156" i="2"/>
  <c r="H156" i="2"/>
  <c r="F156" i="2"/>
  <c r="B156" i="2"/>
  <c r="P155" i="2"/>
  <c r="L155" i="2"/>
  <c r="N155" i="2" s="1"/>
  <c r="J155" i="2"/>
  <c r="I155" i="2"/>
  <c r="H155" i="2"/>
  <c r="F155" i="2"/>
  <c r="B155" i="2"/>
  <c r="P154" i="2"/>
  <c r="O154" i="2"/>
  <c r="U154" i="2" s="1"/>
  <c r="V154" i="2" s="1"/>
  <c r="N154" i="2"/>
  <c r="L154" i="2"/>
  <c r="I154" i="2"/>
  <c r="J154" i="2" s="1"/>
  <c r="H154" i="2"/>
  <c r="F154" i="2"/>
  <c r="B154" i="2"/>
  <c r="P153" i="2"/>
  <c r="N153" i="2"/>
  <c r="L153" i="2"/>
  <c r="O153" i="2" s="1"/>
  <c r="U153" i="2" s="1"/>
  <c r="V153" i="2" s="1"/>
  <c r="I153" i="2"/>
  <c r="J153" i="2" s="1"/>
  <c r="H153" i="2"/>
  <c r="F153" i="2"/>
  <c r="B153" i="2"/>
  <c r="P152" i="2"/>
  <c r="N152" i="2"/>
  <c r="L152" i="2"/>
  <c r="O152" i="2" s="1"/>
  <c r="U152" i="2" s="1"/>
  <c r="V152" i="2" s="1"/>
  <c r="J152" i="2"/>
  <c r="I152" i="2"/>
  <c r="H152" i="2"/>
  <c r="F152" i="2"/>
  <c r="B152" i="2"/>
  <c r="P151" i="2"/>
  <c r="O151" i="2"/>
  <c r="U151" i="2" s="1"/>
  <c r="V151" i="2" s="1"/>
  <c r="L151" i="2"/>
  <c r="N151" i="2" s="1"/>
  <c r="J151" i="2"/>
  <c r="I151" i="2"/>
  <c r="H151" i="2"/>
  <c r="F151" i="2"/>
  <c r="B151" i="2"/>
  <c r="P150" i="2"/>
  <c r="O150" i="2"/>
  <c r="U150" i="2" s="1"/>
  <c r="V150" i="2" s="1"/>
  <c r="N150" i="2"/>
  <c r="L150" i="2"/>
  <c r="I150" i="2"/>
  <c r="J150" i="2" s="1"/>
  <c r="H150" i="2"/>
  <c r="F150" i="2"/>
  <c r="B150" i="2"/>
  <c r="P149" i="2"/>
  <c r="N149" i="2"/>
  <c r="L149" i="2"/>
  <c r="O149" i="2" s="1"/>
  <c r="U149" i="2" s="1"/>
  <c r="V149" i="2" s="1"/>
  <c r="J149" i="2"/>
  <c r="I149" i="2"/>
  <c r="H149" i="2"/>
  <c r="F149" i="2"/>
  <c r="B149" i="2"/>
  <c r="P148" i="2"/>
  <c r="L148" i="2"/>
  <c r="O148" i="2" s="1"/>
  <c r="U148" i="2" s="1"/>
  <c r="V148" i="2" s="1"/>
  <c r="J148" i="2"/>
  <c r="I148" i="2"/>
  <c r="H148" i="2"/>
  <c r="F148" i="2"/>
  <c r="B148" i="2"/>
  <c r="P147" i="2"/>
  <c r="O147" i="2"/>
  <c r="U147" i="2" s="1"/>
  <c r="V147" i="2" s="1"/>
  <c r="N147" i="2"/>
  <c r="L147" i="2"/>
  <c r="J147" i="2"/>
  <c r="I147" i="2"/>
  <c r="H147" i="2"/>
  <c r="F147" i="2"/>
  <c r="B147" i="2"/>
  <c r="P146" i="2"/>
  <c r="O146" i="2"/>
  <c r="U146" i="2" s="1"/>
  <c r="V146" i="2" s="1"/>
  <c r="N146" i="2"/>
  <c r="L146" i="2"/>
  <c r="I146" i="2"/>
  <c r="J146" i="2" s="1"/>
  <c r="H146" i="2"/>
  <c r="F146" i="2"/>
  <c r="B146" i="2"/>
  <c r="P145" i="2"/>
  <c r="N145" i="2"/>
  <c r="L145" i="2"/>
  <c r="O145" i="2" s="1"/>
  <c r="U145" i="2" s="1"/>
  <c r="V145" i="2" s="1"/>
  <c r="J145" i="2"/>
  <c r="I145" i="2"/>
  <c r="H145" i="2"/>
  <c r="F145" i="2"/>
  <c r="B145" i="2"/>
  <c r="P144" i="2"/>
  <c r="L144" i="2"/>
  <c r="O144" i="2" s="1"/>
  <c r="U144" i="2" s="1"/>
  <c r="V144" i="2" s="1"/>
  <c r="J144" i="2"/>
  <c r="I144" i="2"/>
  <c r="H144" i="2"/>
  <c r="F144" i="2"/>
  <c r="B144" i="2"/>
  <c r="P143" i="2"/>
  <c r="O143" i="2"/>
  <c r="U143" i="2" s="1"/>
  <c r="V143" i="2" s="1"/>
  <c r="N143" i="2"/>
  <c r="L143" i="2"/>
  <c r="J143" i="2"/>
  <c r="I143" i="2"/>
  <c r="H143" i="2"/>
  <c r="F143" i="2"/>
  <c r="B143" i="2"/>
  <c r="P142" i="2"/>
  <c r="O142" i="2"/>
  <c r="U142" i="2" s="1"/>
  <c r="V142" i="2" s="1"/>
  <c r="N142" i="2"/>
  <c r="L142" i="2"/>
  <c r="I142" i="2"/>
  <c r="J142" i="2" s="1"/>
  <c r="H142" i="2"/>
  <c r="F142" i="2"/>
  <c r="B142" i="2"/>
  <c r="P141" i="2"/>
  <c r="N141" i="2"/>
  <c r="L141" i="2"/>
  <c r="O141" i="2" s="1"/>
  <c r="U141" i="2" s="1"/>
  <c r="V141" i="2" s="1"/>
  <c r="J141" i="2"/>
  <c r="I141" i="2"/>
  <c r="H141" i="2"/>
  <c r="F141" i="2"/>
  <c r="B141" i="2"/>
  <c r="P140" i="2"/>
  <c r="L140" i="2"/>
  <c r="O140" i="2" s="1"/>
  <c r="U140" i="2" s="1"/>
  <c r="V140" i="2" s="1"/>
  <c r="J140" i="2"/>
  <c r="I140" i="2"/>
  <c r="H140" i="2"/>
  <c r="F140" i="2"/>
  <c r="B140" i="2"/>
  <c r="P139" i="2"/>
  <c r="O139" i="2"/>
  <c r="U139" i="2" s="1"/>
  <c r="V139" i="2" s="1"/>
  <c r="N139" i="2"/>
  <c r="L139" i="2"/>
  <c r="J139" i="2"/>
  <c r="I139" i="2"/>
  <c r="H139" i="2"/>
  <c r="F139" i="2"/>
  <c r="B139" i="2"/>
  <c r="P138" i="2"/>
  <c r="O138" i="2"/>
  <c r="U138" i="2" s="1"/>
  <c r="V138" i="2" s="1"/>
  <c r="N138" i="2"/>
  <c r="L138" i="2"/>
  <c r="I138" i="2"/>
  <c r="J138" i="2" s="1"/>
  <c r="H138" i="2"/>
  <c r="F138" i="2"/>
  <c r="B138" i="2"/>
  <c r="P137" i="2"/>
  <c r="N137" i="2"/>
  <c r="L137" i="2"/>
  <c r="O137" i="2" s="1"/>
  <c r="U137" i="2" s="1"/>
  <c r="V137" i="2" s="1"/>
  <c r="J137" i="2"/>
  <c r="I137" i="2"/>
  <c r="H137" i="2"/>
  <c r="F137" i="2"/>
  <c r="B137" i="2"/>
  <c r="P136" i="2"/>
  <c r="L136" i="2"/>
  <c r="O136" i="2" s="1"/>
  <c r="U136" i="2" s="1"/>
  <c r="V136" i="2" s="1"/>
  <c r="J136" i="2"/>
  <c r="I136" i="2"/>
  <c r="H136" i="2"/>
  <c r="F136" i="2"/>
  <c r="B136" i="2"/>
  <c r="P135" i="2"/>
  <c r="O135" i="2"/>
  <c r="U135" i="2" s="1"/>
  <c r="V135" i="2" s="1"/>
  <c r="N135" i="2"/>
  <c r="L135" i="2"/>
  <c r="J135" i="2"/>
  <c r="I135" i="2"/>
  <c r="H135" i="2"/>
  <c r="F135" i="2"/>
  <c r="B135" i="2"/>
  <c r="P134" i="2"/>
  <c r="O134" i="2"/>
  <c r="U134" i="2" s="1"/>
  <c r="V134" i="2" s="1"/>
  <c r="N134" i="2"/>
  <c r="L134" i="2"/>
  <c r="I134" i="2"/>
  <c r="J134" i="2" s="1"/>
  <c r="H134" i="2"/>
  <c r="F134" i="2"/>
  <c r="B134" i="2"/>
  <c r="P133" i="2"/>
  <c r="N133" i="2"/>
  <c r="L133" i="2"/>
  <c r="O133" i="2" s="1"/>
  <c r="U133" i="2" s="1"/>
  <c r="V133" i="2" s="1"/>
  <c r="J133" i="2"/>
  <c r="I133" i="2"/>
  <c r="H133" i="2"/>
  <c r="F133" i="2"/>
  <c r="B133" i="2"/>
  <c r="P132" i="2"/>
  <c r="L132" i="2"/>
  <c r="O132" i="2" s="1"/>
  <c r="U132" i="2" s="1"/>
  <c r="V132" i="2" s="1"/>
  <c r="J132" i="2"/>
  <c r="I132" i="2"/>
  <c r="H132" i="2"/>
  <c r="F132" i="2"/>
  <c r="B132" i="2"/>
  <c r="P131" i="2"/>
  <c r="O131" i="2"/>
  <c r="U131" i="2" s="1"/>
  <c r="V131" i="2" s="1"/>
  <c r="N131" i="2"/>
  <c r="L131" i="2"/>
  <c r="J131" i="2"/>
  <c r="I131" i="2"/>
  <c r="H131" i="2"/>
  <c r="F131" i="2"/>
  <c r="B131" i="2"/>
  <c r="P130" i="2"/>
  <c r="O130" i="2"/>
  <c r="U130" i="2" s="1"/>
  <c r="V130" i="2" s="1"/>
  <c r="N130" i="2"/>
  <c r="L130" i="2"/>
  <c r="I130" i="2"/>
  <c r="J130" i="2" s="1"/>
  <c r="H130" i="2"/>
  <c r="F130" i="2"/>
  <c r="B130" i="2"/>
  <c r="P129" i="2"/>
  <c r="N129" i="2"/>
  <c r="L129" i="2"/>
  <c r="O129" i="2" s="1"/>
  <c r="U129" i="2" s="1"/>
  <c r="V129" i="2" s="1"/>
  <c r="J129" i="2"/>
  <c r="I129" i="2"/>
  <c r="H129" i="2"/>
  <c r="F129" i="2"/>
  <c r="B129" i="2"/>
  <c r="P128" i="2"/>
  <c r="L128" i="2"/>
  <c r="O128" i="2" s="1"/>
  <c r="U128" i="2" s="1"/>
  <c r="V128" i="2" s="1"/>
  <c r="J128" i="2"/>
  <c r="I128" i="2"/>
  <c r="H128" i="2"/>
  <c r="F128" i="2"/>
  <c r="B128" i="2"/>
  <c r="P127" i="2"/>
  <c r="O127" i="2"/>
  <c r="U127" i="2" s="1"/>
  <c r="V127" i="2" s="1"/>
  <c r="N127" i="2"/>
  <c r="L127" i="2"/>
  <c r="J127" i="2"/>
  <c r="I127" i="2"/>
  <c r="H127" i="2"/>
  <c r="F127" i="2"/>
  <c r="B127" i="2"/>
  <c r="P126" i="2"/>
  <c r="O126" i="2"/>
  <c r="U126" i="2" s="1"/>
  <c r="V126" i="2" s="1"/>
  <c r="N126" i="2"/>
  <c r="L126" i="2"/>
  <c r="I126" i="2"/>
  <c r="J126" i="2" s="1"/>
  <c r="H126" i="2"/>
  <c r="F126" i="2"/>
  <c r="B126" i="2"/>
  <c r="P125" i="2"/>
  <c r="N125" i="2"/>
  <c r="L125" i="2"/>
  <c r="O125" i="2" s="1"/>
  <c r="U125" i="2" s="1"/>
  <c r="V125" i="2" s="1"/>
  <c r="J125" i="2"/>
  <c r="I125" i="2"/>
  <c r="H125" i="2"/>
  <c r="F125" i="2"/>
  <c r="B125" i="2"/>
  <c r="P124" i="2"/>
  <c r="L124" i="2"/>
  <c r="O124" i="2" s="1"/>
  <c r="U124" i="2" s="1"/>
  <c r="V124" i="2" s="1"/>
  <c r="J124" i="2"/>
  <c r="I124" i="2"/>
  <c r="H124" i="2"/>
  <c r="F124" i="2"/>
  <c r="B124" i="2"/>
  <c r="P123" i="2"/>
  <c r="O123" i="2"/>
  <c r="U123" i="2" s="1"/>
  <c r="V123" i="2" s="1"/>
  <c r="N123" i="2"/>
  <c r="L123" i="2"/>
  <c r="J123" i="2"/>
  <c r="I123" i="2"/>
  <c r="H123" i="2"/>
  <c r="F123" i="2"/>
  <c r="B123" i="2"/>
  <c r="P122" i="2"/>
  <c r="O122" i="2"/>
  <c r="U122" i="2" s="1"/>
  <c r="V122" i="2" s="1"/>
  <c r="N122" i="2"/>
  <c r="L122" i="2"/>
  <c r="I122" i="2"/>
  <c r="J122" i="2" s="1"/>
  <c r="H122" i="2"/>
  <c r="F122" i="2"/>
  <c r="B122" i="2"/>
  <c r="P121" i="2"/>
  <c r="N121" i="2"/>
  <c r="L121" i="2"/>
  <c r="O121" i="2" s="1"/>
  <c r="U121" i="2" s="1"/>
  <c r="V121" i="2" s="1"/>
  <c r="J121" i="2"/>
  <c r="I121" i="2"/>
  <c r="H121" i="2"/>
  <c r="F121" i="2"/>
  <c r="B121" i="2"/>
  <c r="P120" i="2"/>
  <c r="L120" i="2"/>
  <c r="O120" i="2" s="1"/>
  <c r="U120" i="2" s="1"/>
  <c r="V120" i="2" s="1"/>
  <c r="J120" i="2"/>
  <c r="I120" i="2"/>
  <c r="H120" i="2"/>
  <c r="F120" i="2"/>
  <c r="B120" i="2"/>
  <c r="P119" i="2"/>
  <c r="O119" i="2"/>
  <c r="U119" i="2" s="1"/>
  <c r="V119" i="2" s="1"/>
  <c r="N119" i="2"/>
  <c r="L119" i="2"/>
  <c r="J119" i="2"/>
  <c r="I119" i="2"/>
  <c r="H119" i="2"/>
  <c r="F119" i="2"/>
  <c r="B119" i="2"/>
  <c r="P118" i="2"/>
  <c r="O118" i="2"/>
  <c r="U118" i="2" s="1"/>
  <c r="V118" i="2" s="1"/>
  <c r="N118" i="2"/>
  <c r="L118" i="2"/>
  <c r="I118" i="2"/>
  <c r="J118" i="2" s="1"/>
  <c r="H118" i="2"/>
  <c r="F118" i="2"/>
  <c r="B118" i="2"/>
  <c r="P117" i="2"/>
  <c r="N117" i="2"/>
  <c r="L117" i="2"/>
  <c r="O117" i="2" s="1"/>
  <c r="U117" i="2" s="1"/>
  <c r="V117" i="2" s="1"/>
  <c r="J117" i="2"/>
  <c r="I117" i="2"/>
  <c r="H117" i="2"/>
  <c r="F117" i="2"/>
  <c r="B117" i="2"/>
  <c r="P116" i="2"/>
  <c r="L116" i="2"/>
  <c r="O116" i="2" s="1"/>
  <c r="U116" i="2" s="1"/>
  <c r="V116" i="2" s="1"/>
  <c r="J116" i="2"/>
  <c r="I116" i="2"/>
  <c r="H116" i="2"/>
  <c r="F116" i="2"/>
  <c r="B116" i="2"/>
  <c r="P115" i="2"/>
  <c r="O115" i="2"/>
  <c r="U115" i="2" s="1"/>
  <c r="V115" i="2" s="1"/>
  <c r="N115" i="2"/>
  <c r="L115" i="2"/>
  <c r="J115" i="2"/>
  <c r="I115" i="2"/>
  <c r="H115" i="2"/>
  <c r="F115" i="2"/>
  <c r="B115" i="2"/>
  <c r="P114" i="2"/>
  <c r="O114" i="2"/>
  <c r="U114" i="2" s="1"/>
  <c r="V114" i="2" s="1"/>
  <c r="N114" i="2"/>
  <c r="L114" i="2"/>
  <c r="I114" i="2"/>
  <c r="J114" i="2" s="1"/>
  <c r="H114" i="2"/>
  <c r="F114" i="2"/>
  <c r="B114" i="2"/>
  <c r="P113" i="2"/>
  <c r="N113" i="2"/>
  <c r="L113" i="2"/>
  <c r="O113" i="2" s="1"/>
  <c r="U113" i="2" s="1"/>
  <c r="V113" i="2" s="1"/>
  <c r="J113" i="2"/>
  <c r="I113" i="2"/>
  <c r="H113" i="2"/>
  <c r="F113" i="2"/>
  <c r="B113" i="2"/>
  <c r="P112" i="2"/>
  <c r="L112" i="2"/>
  <c r="O112" i="2" s="1"/>
  <c r="U112" i="2" s="1"/>
  <c r="V112" i="2" s="1"/>
  <c r="J112" i="2"/>
  <c r="I112" i="2"/>
  <c r="H112" i="2"/>
  <c r="F112" i="2"/>
  <c r="B112" i="2"/>
  <c r="P111" i="2"/>
  <c r="O111" i="2"/>
  <c r="U111" i="2" s="1"/>
  <c r="V111" i="2" s="1"/>
  <c r="N111" i="2"/>
  <c r="L111" i="2"/>
  <c r="J111" i="2"/>
  <c r="I111" i="2"/>
  <c r="H111" i="2"/>
  <c r="F111" i="2"/>
  <c r="B111" i="2"/>
  <c r="P110" i="2"/>
  <c r="O110" i="2"/>
  <c r="U110" i="2" s="1"/>
  <c r="V110" i="2" s="1"/>
  <c r="N110" i="2"/>
  <c r="L110" i="2"/>
  <c r="I110" i="2"/>
  <c r="J110" i="2" s="1"/>
  <c r="H110" i="2"/>
  <c r="F110" i="2"/>
  <c r="B110" i="2"/>
  <c r="P109" i="2"/>
  <c r="N109" i="2"/>
  <c r="L109" i="2"/>
  <c r="O109" i="2" s="1"/>
  <c r="U109" i="2" s="1"/>
  <c r="V109" i="2" s="1"/>
  <c r="J109" i="2"/>
  <c r="I109" i="2"/>
  <c r="H109" i="2"/>
  <c r="F109" i="2"/>
  <c r="B109" i="2"/>
  <c r="P108" i="2"/>
  <c r="L108" i="2"/>
  <c r="O108" i="2" s="1"/>
  <c r="U108" i="2" s="1"/>
  <c r="V108" i="2" s="1"/>
  <c r="J108" i="2"/>
  <c r="I108" i="2"/>
  <c r="H108" i="2"/>
  <c r="F108" i="2"/>
  <c r="B108" i="2"/>
  <c r="P107" i="2"/>
  <c r="O107" i="2"/>
  <c r="U107" i="2" s="1"/>
  <c r="V107" i="2" s="1"/>
  <c r="N107" i="2"/>
  <c r="L107" i="2"/>
  <c r="J107" i="2"/>
  <c r="I107" i="2"/>
  <c r="H107" i="2"/>
  <c r="F107" i="2"/>
  <c r="B107" i="2"/>
  <c r="P106" i="2"/>
  <c r="O106" i="2"/>
  <c r="U106" i="2" s="1"/>
  <c r="V106" i="2" s="1"/>
  <c r="N106" i="2"/>
  <c r="L106" i="2"/>
  <c r="I106" i="2"/>
  <c r="J106" i="2" s="1"/>
  <c r="H106" i="2"/>
  <c r="F106" i="2"/>
  <c r="B106" i="2"/>
  <c r="P105" i="2"/>
  <c r="N105" i="2"/>
  <c r="L105" i="2"/>
  <c r="O105" i="2" s="1"/>
  <c r="U105" i="2" s="1"/>
  <c r="V105" i="2" s="1"/>
  <c r="J105" i="2"/>
  <c r="I105" i="2"/>
  <c r="H105" i="2"/>
  <c r="F105" i="2"/>
  <c r="B105" i="2"/>
  <c r="P104" i="2"/>
  <c r="L104" i="2"/>
  <c r="O104" i="2" s="1"/>
  <c r="U104" i="2" s="1"/>
  <c r="V104" i="2" s="1"/>
  <c r="J104" i="2"/>
  <c r="I104" i="2"/>
  <c r="H104" i="2"/>
  <c r="F104" i="2"/>
  <c r="B104" i="2"/>
  <c r="P103" i="2"/>
  <c r="O103" i="2"/>
  <c r="U103" i="2" s="1"/>
  <c r="V103" i="2" s="1"/>
  <c r="N103" i="2"/>
  <c r="L103" i="2"/>
  <c r="J103" i="2"/>
  <c r="I103" i="2"/>
  <c r="H103" i="2"/>
  <c r="F103" i="2"/>
  <c r="B103" i="2"/>
  <c r="P102" i="2"/>
  <c r="O102" i="2"/>
  <c r="U102" i="2" s="1"/>
  <c r="V102" i="2" s="1"/>
  <c r="N102" i="2"/>
  <c r="L102" i="2"/>
  <c r="I102" i="2"/>
  <c r="J102" i="2" s="1"/>
  <c r="H102" i="2"/>
  <c r="F102" i="2"/>
  <c r="B102" i="2"/>
  <c r="P101" i="2"/>
  <c r="N101" i="2"/>
  <c r="L101" i="2"/>
  <c r="O101" i="2" s="1"/>
  <c r="U101" i="2" s="1"/>
  <c r="V101" i="2" s="1"/>
  <c r="J101" i="2"/>
  <c r="I101" i="2"/>
  <c r="H101" i="2"/>
  <c r="F101" i="2"/>
  <c r="B101" i="2"/>
  <c r="P100" i="2"/>
  <c r="L100" i="2"/>
  <c r="O100" i="2" s="1"/>
  <c r="U100" i="2" s="1"/>
  <c r="V100" i="2" s="1"/>
  <c r="J100" i="2"/>
  <c r="I100" i="2"/>
  <c r="H100" i="2"/>
  <c r="F100" i="2"/>
  <c r="B100" i="2"/>
  <c r="P99" i="2"/>
  <c r="O99" i="2"/>
  <c r="U99" i="2" s="1"/>
  <c r="V99" i="2" s="1"/>
  <c r="N99" i="2"/>
  <c r="L99" i="2"/>
  <c r="J99" i="2"/>
  <c r="I99" i="2"/>
  <c r="H99" i="2"/>
  <c r="F99" i="2"/>
  <c r="B99" i="2"/>
  <c r="P98" i="2"/>
  <c r="O98" i="2"/>
  <c r="U98" i="2" s="1"/>
  <c r="V98" i="2" s="1"/>
  <c r="N98" i="2"/>
  <c r="L98" i="2"/>
  <c r="I98" i="2"/>
  <c r="J98" i="2" s="1"/>
  <c r="H98" i="2"/>
  <c r="F98" i="2"/>
  <c r="B98" i="2"/>
  <c r="P97" i="2"/>
  <c r="N97" i="2"/>
  <c r="L97" i="2"/>
  <c r="O97" i="2" s="1"/>
  <c r="U97" i="2" s="1"/>
  <c r="V97" i="2" s="1"/>
  <c r="J97" i="2"/>
  <c r="I97" i="2"/>
  <c r="H97" i="2"/>
  <c r="F97" i="2"/>
  <c r="B97" i="2"/>
  <c r="P96" i="2"/>
  <c r="L96" i="2"/>
  <c r="O96" i="2" s="1"/>
  <c r="U96" i="2" s="1"/>
  <c r="V96" i="2" s="1"/>
  <c r="J96" i="2"/>
  <c r="I96" i="2"/>
  <c r="H96" i="2"/>
  <c r="F96" i="2"/>
  <c r="B96" i="2"/>
  <c r="P95" i="2"/>
  <c r="O95" i="2"/>
  <c r="U95" i="2" s="1"/>
  <c r="V95" i="2" s="1"/>
  <c r="N95" i="2"/>
  <c r="L95" i="2"/>
  <c r="J95" i="2"/>
  <c r="I95" i="2"/>
  <c r="H95" i="2"/>
  <c r="F95" i="2"/>
  <c r="B95" i="2"/>
  <c r="P94" i="2"/>
  <c r="O94" i="2"/>
  <c r="U94" i="2" s="1"/>
  <c r="V94" i="2" s="1"/>
  <c r="N94" i="2"/>
  <c r="L94" i="2"/>
  <c r="I94" i="2"/>
  <c r="J94" i="2" s="1"/>
  <c r="H94" i="2"/>
  <c r="F94" i="2"/>
  <c r="B94" i="2"/>
  <c r="P93" i="2"/>
  <c r="N93" i="2"/>
  <c r="L93" i="2"/>
  <c r="O93" i="2" s="1"/>
  <c r="U93" i="2" s="1"/>
  <c r="V93" i="2" s="1"/>
  <c r="J93" i="2"/>
  <c r="I93" i="2"/>
  <c r="H93" i="2"/>
  <c r="F93" i="2"/>
  <c r="B93" i="2"/>
  <c r="P92" i="2"/>
  <c r="L92" i="2"/>
  <c r="O92" i="2" s="1"/>
  <c r="U92" i="2" s="1"/>
  <c r="V92" i="2" s="1"/>
  <c r="J92" i="2"/>
  <c r="I92" i="2"/>
  <c r="H92" i="2"/>
  <c r="F92" i="2"/>
  <c r="B92" i="2"/>
  <c r="P91" i="2"/>
  <c r="O91" i="2"/>
  <c r="U91" i="2" s="1"/>
  <c r="V91" i="2" s="1"/>
  <c r="N91" i="2"/>
  <c r="L91" i="2"/>
  <c r="J91" i="2"/>
  <c r="I91" i="2"/>
  <c r="H91" i="2"/>
  <c r="F91" i="2"/>
  <c r="B91" i="2"/>
  <c r="P90" i="2"/>
  <c r="O90" i="2"/>
  <c r="U90" i="2" s="1"/>
  <c r="V90" i="2" s="1"/>
  <c r="N90" i="2"/>
  <c r="L90" i="2"/>
  <c r="I90" i="2"/>
  <c r="J90" i="2" s="1"/>
  <c r="H90" i="2"/>
  <c r="F90" i="2"/>
  <c r="B90" i="2"/>
  <c r="P89" i="2"/>
  <c r="N89" i="2"/>
  <c r="L89" i="2"/>
  <c r="O89" i="2" s="1"/>
  <c r="U89" i="2" s="1"/>
  <c r="V89" i="2" s="1"/>
  <c r="J89" i="2"/>
  <c r="I89" i="2"/>
  <c r="H89" i="2"/>
  <c r="F89" i="2"/>
  <c r="B89" i="2"/>
  <c r="P88" i="2"/>
  <c r="L88" i="2"/>
  <c r="O88" i="2" s="1"/>
  <c r="U88" i="2" s="1"/>
  <c r="V88" i="2" s="1"/>
  <c r="J88" i="2"/>
  <c r="I88" i="2"/>
  <c r="H88" i="2"/>
  <c r="F88" i="2"/>
  <c r="B88" i="2"/>
  <c r="P87" i="2"/>
  <c r="O87" i="2"/>
  <c r="U87" i="2" s="1"/>
  <c r="V87" i="2" s="1"/>
  <c r="N87" i="2"/>
  <c r="L87" i="2"/>
  <c r="J87" i="2"/>
  <c r="I87" i="2"/>
  <c r="H87" i="2"/>
  <c r="F87" i="2"/>
  <c r="B87" i="2"/>
  <c r="P86" i="2"/>
  <c r="O86" i="2"/>
  <c r="U86" i="2" s="1"/>
  <c r="V86" i="2" s="1"/>
  <c r="N86" i="2"/>
  <c r="L86" i="2"/>
  <c r="I86" i="2"/>
  <c r="J86" i="2" s="1"/>
  <c r="H86" i="2"/>
  <c r="F86" i="2"/>
  <c r="B86" i="2"/>
  <c r="P85" i="2"/>
  <c r="N85" i="2"/>
  <c r="L85" i="2"/>
  <c r="O85" i="2" s="1"/>
  <c r="U85" i="2" s="1"/>
  <c r="V85" i="2" s="1"/>
  <c r="J85" i="2"/>
  <c r="I85" i="2"/>
  <c r="H85" i="2"/>
  <c r="F85" i="2"/>
  <c r="B85" i="2"/>
  <c r="P84" i="2"/>
  <c r="L84" i="2"/>
  <c r="O84" i="2" s="1"/>
  <c r="U84" i="2" s="1"/>
  <c r="V84" i="2" s="1"/>
  <c r="J84" i="2"/>
  <c r="I84" i="2"/>
  <c r="H84" i="2"/>
  <c r="F84" i="2"/>
  <c r="B84" i="2"/>
  <c r="P83" i="2"/>
  <c r="O83" i="2"/>
  <c r="U83" i="2" s="1"/>
  <c r="V83" i="2" s="1"/>
  <c r="N83" i="2"/>
  <c r="L83" i="2"/>
  <c r="J83" i="2"/>
  <c r="I83" i="2"/>
  <c r="H83" i="2"/>
  <c r="F83" i="2"/>
  <c r="B83" i="2"/>
  <c r="P82" i="2"/>
  <c r="O82" i="2"/>
  <c r="U82" i="2" s="1"/>
  <c r="V82" i="2" s="1"/>
  <c r="N82" i="2"/>
  <c r="L82" i="2"/>
  <c r="I82" i="2"/>
  <c r="J82" i="2" s="1"/>
  <c r="H82" i="2"/>
  <c r="F82" i="2"/>
  <c r="B82" i="2"/>
  <c r="P81" i="2"/>
  <c r="N81" i="2"/>
  <c r="L81" i="2"/>
  <c r="O81" i="2" s="1"/>
  <c r="U81" i="2" s="1"/>
  <c r="V81" i="2" s="1"/>
  <c r="J81" i="2"/>
  <c r="I81" i="2"/>
  <c r="H81" i="2"/>
  <c r="F81" i="2"/>
  <c r="B81" i="2"/>
  <c r="P80" i="2"/>
  <c r="L80" i="2"/>
  <c r="O80" i="2" s="1"/>
  <c r="U80" i="2" s="1"/>
  <c r="V80" i="2" s="1"/>
  <c r="J80" i="2"/>
  <c r="I80" i="2"/>
  <c r="H80" i="2"/>
  <c r="F80" i="2"/>
  <c r="B80" i="2"/>
  <c r="P79" i="2"/>
  <c r="O79" i="2"/>
  <c r="U79" i="2" s="1"/>
  <c r="V79" i="2" s="1"/>
  <c r="N79" i="2"/>
  <c r="L79" i="2"/>
  <c r="J79" i="2"/>
  <c r="I79" i="2"/>
  <c r="H79" i="2"/>
  <c r="F79" i="2"/>
  <c r="B79" i="2"/>
  <c r="P78" i="2"/>
  <c r="O78" i="2"/>
  <c r="U78" i="2" s="1"/>
  <c r="V78" i="2" s="1"/>
  <c r="N78" i="2"/>
  <c r="L78" i="2"/>
  <c r="I78" i="2"/>
  <c r="J78" i="2" s="1"/>
  <c r="H78" i="2"/>
  <c r="F78" i="2"/>
  <c r="B78" i="2"/>
  <c r="P77" i="2"/>
  <c r="N77" i="2"/>
  <c r="L77" i="2"/>
  <c r="O77" i="2" s="1"/>
  <c r="U77" i="2" s="1"/>
  <c r="V77" i="2" s="1"/>
  <c r="J77" i="2"/>
  <c r="I77" i="2"/>
  <c r="H77" i="2"/>
  <c r="F77" i="2"/>
  <c r="B77" i="2"/>
  <c r="P76" i="2"/>
  <c r="L76" i="2"/>
  <c r="O76" i="2" s="1"/>
  <c r="U76" i="2" s="1"/>
  <c r="V76" i="2" s="1"/>
  <c r="J76" i="2"/>
  <c r="I76" i="2"/>
  <c r="H76" i="2"/>
  <c r="F76" i="2"/>
  <c r="B76" i="2"/>
  <c r="P75" i="2"/>
  <c r="O75" i="2"/>
  <c r="U75" i="2" s="1"/>
  <c r="V75" i="2" s="1"/>
  <c r="N75" i="2"/>
  <c r="L75" i="2"/>
  <c r="J75" i="2"/>
  <c r="I75" i="2"/>
  <c r="H75" i="2"/>
  <c r="F75" i="2"/>
  <c r="B75" i="2"/>
  <c r="P74" i="2"/>
  <c r="O74" i="2"/>
  <c r="U74" i="2" s="1"/>
  <c r="V74" i="2" s="1"/>
  <c r="N74" i="2"/>
  <c r="L74" i="2"/>
  <c r="I74" i="2"/>
  <c r="J74" i="2" s="1"/>
  <c r="H74" i="2"/>
  <c r="F74" i="2"/>
  <c r="B74" i="2"/>
  <c r="P73" i="2"/>
  <c r="N73" i="2"/>
  <c r="L73" i="2"/>
  <c r="O73" i="2" s="1"/>
  <c r="U73" i="2" s="1"/>
  <c r="V73" i="2" s="1"/>
  <c r="J73" i="2"/>
  <c r="I73" i="2"/>
  <c r="H73" i="2"/>
  <c r="F73" i="2"/>
  <c r="B73" i="2"/>
  <c r="P72" i="2"/>
  <c r="L72" i="2"/>
  <c r="O72" i="2" s="1"/>
  <c r="U72" i="2" s="1"/>
  <c r="V72" i="2" s="1"/>
  <c r="J72" i="2"/>
  <c r="I72" i="2"/>
  <c r="H72" i="2"/>
  <c r="F72" i="2"/>
  <c r="B72" i="2"/>
  <c r="P71" i="2"/>
  <c r="O71" i="2"/>
  <c r="U71" i="2" s="1"/>
  <c r="V71" i="2" s="1"/>
  <c r="N71" i="2"/>
  <c r="L71" i="2"/>
  <c r="J71" i="2"/>
  <c r="I71" i="2"/>
  <c r="H71" i="2"/>
  <c r="F71" i="2"/>
  <c r="B71" i="2"/>
  <c r="P70" i="2"/>
  <c r="O70" i="2"/>
  <c r="U70" i="2" s="1"/>
  <c r="V70" i="2" s="1"/>
  <c r="N70" i="2"/>
  <c r="L70" i="2"/>
  <c r="I70" i="2"/>
  <c r="J70" i="2" s="1"/>
  <c r="H70" i="2"/>
  <c r="F70" i="2"/>
  <c r="B70" i="2"/>
  <c r="P69" i="2"/>
  <c r="N69" i="2"/>
  <c r="L69" i="2"/>
  <c r="O69" i="2" s="1"/>
  <c r="U69" i="2" s="1"/>
  <c r="V69" i="2" s="1"/>
  <c r="J69" i="2"/>
  <c r="I69" i="2"/>
  <c r="H69" i="2"/>
  <c r="F69" i="2"/>
  <c r="B69" i="2"/>
  <c r="P68" i="2"/>
  <c r="L68" i="2"/>
  <c r="O68" i="2" s="1"/>
  <c r="U68" i="2" s="1"/>
  <c r="V68" i="2" s="1"/>
  <c r="J68" i="2"/>
  <c r="I68" i="2"/>
  <c r="H68" i="2"/>
  <c r="F68" i="2"/>
  <c r="B68" i="2"/>
  <c r="P67" i="2"/>
  <c r="O67" i="2"/>
  <c r="U67" i="2" s="1"/>
  <c r="V67" i="2" s="1"/>
  <c r="N67" i="2"/>
  <c r="L67" i="2"/>
  <c r="J67" i="2"/>
  <c r="I67" i="2"/>
  <c r="H67" i="2"/>
  <c r="F67" i="2"/>
  <c r="B67" i="2"/>
  <c r="P66" i="2"/>
  <c r="O66" i="2"/>
  <c r="U66" i="2" s="1"/>
  <c r="V66" i="2" s="1"/>
  <c r="N66" i="2"/>
  <c r="L66" i="2"/>
  <c r="I66" i="2"/>
  <c r="J66" i="2" s="1"/>
  <c r="H66" i="2"/>
  <c r="F66" i="2"/>
  <c r="B66" i="2"/>
  <c r="P65" i="2"/>
  <c r="N65" i="2"/>
  <c r="L65" i="2"/>
  <c r="O65" i="2" s="1"/>
  <c r="U65" i="2" s="1"/>
  <c r="V65" i="2" s="1"/>
  <c r="J65" i="2"/>
  <c r="I65" i="2"/>
  <c r="H65" i="2"/>
  <c r="F65" i="2"/>
  <c r="B65" i="2"/>
  <c r="P64" i="2"/>
  <c r="L64" i="2"/>
  <c r="O64" i="2" s="1"/>
  <c r="U64" i="2" s="1"/>
  <c r="V64" i="2" s="1"/>
  <c r="J64" i="2"/>
  <c r="I64" i="2"/>
  <c r="H64" i="2"/>
  <c r="F64" i="2"/>
  <c r="B64" i="2"/>
  <c r="P63" i="2"/>
  <c r="O63" i="2"/>
  <c r="U63" i="2" s="1"/>
  <c r="V63" i="2" s="1"/>
  <c r="N63" i="2"/>
  <c r="L63" i="2"/>
  <c r="J63" i="2"/>
  <c r="I63" i="2"/>
  <c r="H63" i="2"/>
  <c r="F63" i="2"/>
  <c r="B63" i="2"/>
  <c r="P62" i="2"/>
  <c r="O62" i="2"/>
  <c r="U62" i="2" s="1"/>
  <c r="V62" i="2" s="1"/>
  <c r="N62" i="2"/>
  <c r="L62" i="2"/>
  <c r="I62" i="2"/>
  <c r="J62" i="2" s="1"/>
  <c r="H62" i="2"/>
  <c r="F62" i="2"/>
  <c r="B62" i="2"/>
  <c r="P61" i="2"/>
  <c r="N61" i="2"/>
  <c r="L61" i="2"/>
  <c r="O61" i="2" s="1"/>
  <c r="U61" i="2" s="1"/>
  <c r="V61" i="2" s="1"/>
  <c r="J61" i="2"/>
  <c r="I61" i="2"/>
  <c r="H61" i="2"/>
  <c r="F61" i="2"/>
  <c r="B61" i="2"/>
  <c r="P60" i="2"/>
  <c r="L60" i="2"/>
  <c r="O60" i="2" s="1"/>
  <c r="U60" i="2" s="1"/>
  <c r="V60" i="2" s="1"/>
  <c r="J60" i="2"/>
  <c r="I60" i="2"/>
  <c r="H60" i="2"/>
  <c r="F60" i="2"/>
  <c r="B60" i="2"/>
  <c r="P59" i="2"/>
  <c r="O59" i="2"/>
  <c r="U59" i="2" s="1"/>
  <c r="V59" i="2" s="1"/>
  <c r="N59" i="2"/>
  <c r="L59" i="2"/>
  <c r="J59" i="2"/>
  <c r="I59" i="2"/>
  <c r="H59" i="2"/>
  <c r="F59" i="2"/>
  <c r="B59" i="2"/>
  <c r="P58" i="2"/>
  <c r="O58" i="2"/>
  <c r="U58" i="2" s="1"/>
  <c r="V58" i="2" s="1"/>
  <c r="N58" i="2"/>
  <c r="L58" i="2"/>
  <c r="I58" i="2"/>
  <c r="J58" i="2" s="1"/>
  <c r="H58" i="2"/>
  <c r="F58" i="2"/>
  <c r="B58" i="2"/>
  <c r="P57" i="2"/>
  <c r="N57" i="2"/>
  <c r="L57" i="2"/>
  <c r="O57" i="2" s="1"/>
  <c r="U57" i="2" s="1"/>
  <c r="V57" i="2" s="1"/>
  <c r="J57" i="2"/>
  <c r="I57" i="2"/>
  <c r="H57" i="2"/>
  <c r="F57" i="2"/>
  <c r="B57" i="2"/>
  <c r="P56" i="2"/>
  <c r="L56" i="2"/>
  <c r="O56" i="2" s="1"/>
  <c r="U56" i="2" s="1"/>
  <c r="V56" i="2" s="1"/>
  <c r="J56" i="2"/>
  <c r="I56" i="2"/>
  <c r="H56" i="2"/>
  <c r="F56" i="2"/>
  <c r="B56" i="2"/>
  <c r="P55" i="2"/>
  <c r="O55" i="2"/>
  <c r="U55" i="2" s="1"/>
  <c r="V55" i="2" s="1"/>
  <c r="N55" i="2"/>
  <c r="L55" i="2"/>
  <c r="J55" i="2"/>
  <c r="I55" i="2"/>
  <c r="H55" i="2"/>
  <c r="F55" i="2"/>
  <c r="B55" i="2"/>
  <c r="P54" i="2"/>
  <c r="O54" i="2"/>
  <c r="U54" i="2" s="1"/>
  <c r="V54" i="2" s="1"/>
  <c r="N54" i="2"/>
  <c r="L54" i="2"/>
  <c r="I54" i="2"/>
  <c r="J54" i="2" s="1"/>
  <c r="H54" i="2"/>
  <c r="F54" i="2"/>
  <c r="B54" i="2"/>
  <c r="P53" i="2"/>
  <c r="N53" i="2"/>
  <c r="L53" i="2"/>
  <c r="O53" i="2" s="1"/>
  <c r="U53" i="2" s="1"/>
  <c r="V53" i="2" s="1"/>
  <c r="J53" i="2"/>
  <c r="I53" i="2"/>
  <c r="H53" i="2"/>
  <c r="F53" i="2"/>
  <c r="B53" i="2"/>
  <c r="P52" i="2"/>
  <c r="L52" i="2"/>
  <c r="O52" i="2" s="1"/>
  <c r="U52" i="2" s="1"/>
  <c r="V52" i="2" s="1"/>
  <c r="J52" i="2"/>
  <c r="I52" i="2"/>
  <c r="H52" i="2"/>
  <c r="F52" i="2"/>
  <c r="B52" i="2"/>
  <c r="P51" i="2"/>
  <c r="O51" i="2"/>
  <c r="U51" i="2" s="1"/>
  <c r="V51" i="2" s="1"/>
  <c r="N51" i="2"/>
  <c r="L51" i="2"/>
  <c r="J51" i="2"/>
  <c r="I51" i="2"/>
  <c r="H51" i="2"/>
  <c r="F51" i="2"/>
  <c r="B51" i="2"/>
  <c r="P50" i="2"/>
  <c r="O50" i="2"/>
  <c r="U50" i="2" s="1"/>
  <c r="V50" i="2" s="1"/>
  <c r="N50" i="2"/>
  <c r="L50" i="2"/>
  <c r="I50" i="2"/>
  <c r="J50" i="2" s="1"/>
  <c r="H50" i="2"/>
  <c r="F50" i="2"/>
  <c r="B50" i="2"/>
  <c r="P49" i="2"/>
  <c r="N49" i="2"/>
  <c r="L49" i="2"/>
  <c r="O49" i="2" s="1"/>
  <c r="U49" i="2" s="1"/>
  <c r="V49" i="2" s="1"/>
  <c r="J49" i="2"/>
  <c r="I49" i="2"/>
  <c r="H49" i="2"/>
  <c r="F49" i="2"/>
  <c r="B49" i="2"/>
  <c r="P48" i="2"/>
  <c r="L48" i="2"/>
  <c r="O48" i="2" s="1"/>
  <c r="U48" i="2" s="1"/>
  <c r="V48" i="2" s="1"/>
  <c r="J48" i="2"/>
  <c r="I48" i="2"/>
  <c r="H48" i="2"/>
  <c r="F48" i="2"/>
  <c r="B48" i="2"/>
  <c r="P47" i="2"/>
  <c r="O47" i="2"/>
  <c r="U47" i="2" s="1"/>
  <c r="V47" i="2" s="1"/>
  <c r="N47" i="2"/>
  <c r="L47" i="2"/>
  <c r="J47" i="2"/>
  <c r="I47" i="2"/>
  <c r="H47" i="2"/>
  <c r="F47" i="2"/>
  <c r="B47" i="2"/>
  <c r="P46" i="2"/>
  <c r="O46" i="2"/>
  <c r="U46" i="2" s="1"/>
  <c r="V46" i="2" s="1"/>
  <c r="N46" i="2"/>
  <c r="L46" i="2"/>
  <c r="I46" i="2"/>
  <c r="J46" i="2" s="1"/>
  <c r="H46" i="2"/>
  <c r="F46" i="2"/>
  <c r="B46" i="2"/>
  <c r="P45" i="2"/>
  <c r="N45" i="2"/>
  <c r="L45" i="2"/>
  <c r="O45" i="2" s="1"/>
  <c r="U45" i="2" s="1"/>
  <c r="V45" i="2" s="1"/>
  <c r="J45" i="2"/>
  <c r="I45" i="2"/>
  <c r="H45" i="2"/>
  <c r="F45" i="2"/>
  <c r="B45" i="2"/>
  <c r="P44" i="2"/>
  <c r="L44" i="2"/>
  <c r="O44" i="2" s="1"/>
  <c r="U44" i="2" s="1"/>
  <c r="V44" i="2" s="1"/>
  <c r="J44" i="2"/>
  <c r="I44" i="2"/>
  <c r="H44" i="2"/>
  <c r="F44" i="2"/>
  <c r="B44" i="2"/>
  <c r="P43" i="2"/>
  <c r="O43" i="2"/>
  <c r="U43" i="2" s="1"/>
  <c r="V43" i="2" s="1"/>
  <c r="N43" i="2"/>
  <c r="L43" i="2"/>
  <c r="J43" i="2"/>
  <c r="I43" i="2"/>
  <c r="H43" i="2"/>
  <c r="F43" i="2"/>
  <c r="B43" i="2"/>
  <c r="P42" i="2"/>
  <c r="O42" i="2"/>
  <c r="U42" i="2" s="1"/>
  <c r="V42" i="2" s="1"/>
  <c r="N42" i="2"/>
  <c r="L42" i="2"/>
  <c r="I42" i="2"/>
  <c r="J42" i="2" s="1"/>
  <c r="H42" i="2"/>
  <c r="F42" i="2"/>
  <c r="B42" i="2"/>
  <c r="P41" i="2"/>
  <c r="N41" i="2"/>
  <c r="L41" i="2"/>
  <c r="O41" i="2" s="1"/>
  <c r="U41" i="2" s="1"/>
  <c r="V41" i="2" s="1"/>
  <c r="J41" i="2"/>
  <c r="I41" i="2"/>
  <c r="H41" i="2"/>
  <c r="F41" i="2"/>
  <c r="B41" i="2"/>
  <c r="P40" i="2"/>
  <c r="L40" i="2"/>
  <c r="O40" i="2" s="1"/>
  <c r="U40" i="2" s="1"/>
  <c r="V40" i="2" s="1"/>
  <c r="J40" i="2"/>
  <c r="I40" i="2"/>
  <c r="H40" i="2"/>
  <c r="F40" i="2"/>
  <c r="B40" i="2"/>
  <c r="P39" i="2"/>
  <c r="O39" i="2"/>
  <c r="U39" i="2" s="1"/>
  <c r="V39" i="2" s="1"/>
  <c r="N39" i="2"/>
  <c r="L39" i="2"/>
  <c r="J39" i="2"/>
  <c r="I39" i="2"/>
  <c r="H39" i="2"/>
  <c r="F39" i="2"/>
  <c r="B39" i="2"/>
  <c r="P38" i="2"/>
  <c r="O38" i="2"/>
  <c r="U38" i="2" s="1"/>
  <c r="V38" i="2" s="1"/>
  <c r="N38" i="2"/>
  <c r="L38" i="2"/>
  <c r="I38" i="2"/>
  <c r="J38" i="2" s="1"/>
  <c r="H38" i="2"/>
  <c r="F38" i="2"/>
  <c r="B38" i="2"/>
  <c r="P37" i="2"/>
  <c r="N37" i="2"/>
  <c r="L37" i="2"/>
  <c r="O37" i="2" s="1"/>
  <c r="U37" i="2" s="1"/>
  <c r="V37" i="2" s="1"/>
  <c r="J37" i="2"/>
  <c r="I37" i="2"/>
  <c r="H37" i="2"/>
  <c r="F37" i="2"/>
  <c r="B37" i="2"/>
  <c r="P36" i="2"/>
  <c r="L36" i="2"/>
  <c r="O36" i="2" s="1"/>
  <c r="U36" i="2" s="1"/>
  <c r="V36" i="2" s="1"/>
  <c r="J36" i="2"/>
  <c r="I36" i="2"/>
  <c r="H36" i="2"/>
  <c r="F36" i="2"/>
  <c r="B36" i="2"/>
  <c r="P35" i="2"/>
  <c r="O35" i="2"/>
  <c r="U35" i="2" s="1"/>
  <c r="V35" i="2" s="1"/>
  <c r="N35" i="2"/>
  <c r="L35" i="2"/>
  <c r="J35" i="2"/>
  <c r="I35" i="2"/>
  <c r="H35" i="2"/>
  <c r="F35" i="2"/>
  <c r="B35" i="2"/>
  <c r="P34" i="2"/>
  <c r="O34" i="2"/>
  <c r="U34" i="2" s="1"/>
  <c r="V34" i="2" s="1"/>
  <c r="N34" i="2"/>
  <c r="L34" i="2"/>
  <c r="I34" i="2"/>
  <c r="J34" i="2" s="1"/>
  <c r="H34" i="2"/>
  <c r="F34" i="2"/>
  <c r="B34" i="2"/>
  <c r="P33" i="2"/>
  <c r="N33" i="2"/>
  <c r="L33" i="2"/>
  <c r="O33" i="2" s="1"/>
  <c r="U33" i="2" s="1"/>
  <c r="V33" i="2" s="1"/>
  <c r="J33" i="2"/>
  <c r="I33" i="2"/>
  <c r="H33" i="2"/>
  <c r="F33" i="2"/>
  <c r="B33" i="2"/>
  <c r="P32" i="2"/>
  <c r="L32" i="2"/>
  <c r="O32" i="2" s="1"/>
  <c r="U32" i="2" s="1"/>
  <c r="V32" i="2" s="1"/>
  <c r="J32" i="2"/>
  <c r="I32" i="2"/>
  <c r="H32" i="2"/>
  <c r="F32" i="2"/>
  <c r="B32" i="2"/>
  <c r="P31" i="2"/>
  <c r="O31" i="2"/>
  <c r="U31" i="2" s="1"/>
  <c r="V31" i="2" s="1"/>
  <c r="N31" i="2"/>
  <c r="L31" i="2"/>
  <c r="J31" i="2"/>
  <c r="I31" i="2"/>
  <c r="H31" i="2"/>
  <c r="F31" i="2"/>
  <c r="B31" i="2"/>
  <c r="P30" i="2"/>
  <c r="O30" i="2"/>
  <c r="U30" i="2" s="1"/>
  <c r="V30" i="2" s="1"/>
  <c r="N30" i="2"/>
  <c r="L30" i="2"/>
  <c r="I30" i="2"/>
  <c r="J30" i="2" s="1"/>
  <c r="H30" i="2"/>
  <c r="F30" i="2"/>
  <c r="B30" i="2"/>
  <c r="N29" i="2"/>
  <c r="L29" i="2"/>
  <c r="O29" i="2" s="1"/>
  <c r="U29" i="2" s="1"/>
  <c r="V29" i="2" s="1"/>
  <c r="J29" i="2"/>
  <c r="I29" i="2"/>
  <c r="H29" i="2"/>
  <c r="F29" i="2"/>
  <c r="P29" i="2" s="1"/>
  <c r="B29" i="2"/>
  <c r="L28" i="2"/>
  <c r="O28" i="2" s="1"/>
  <c r="U28" i="2" s="1"/>
  <c r="V28" i="2" s="1"/>
  <c r="J28" i="2"/>
  <c r="I28" i="2"/>
  <c r="H28" i="2"/>
  <c r="F28" i="2"/>
  <c r="B28" i="2"/>
  <c r="P27" i="2"/>
  <c r="O27" i="2"/>
  <c r="U27" i="2" s="1"/>
  <c r="V27" i="2" s="1"/>
  <c r="N27" i="2"/>
  <c r="L27" i="2"/>
  <c r="J27" i="2"/>
  <c r="I27" i="2"/>
  <c r="H27" i="2"/>
  <c r="F27" i="2"/>
  <c r="B27" i="2"/>
  <c r="O26" i="2"/>
  <c r="U26" i="2" s="1"/>
  <c r="V26" i="2" s="1"/>
  <c r="N26" i="2"/>
  <c r="P26" i="2" s="1"/>
  <c r="L26" i="2"/>
  <c r="I26" i="2"/>
  <c r="J26" i="2" s="1"/>
  <c r="H26" i="2"/>
  <c r="F26" i="2"/>
  <c r="B26" i="2"/>
  <c r="N25" i="2"/>
  <c r="L25" i="2"/>
  <c r="O25" i="2" s="1"/>
  <c r="U25" i="2" s="1"/>
  <c r="V25" i="2" s="1"/>
  <c r="I25" i="2"/>
  <c r="J25" i="2" s="1"/>
  <c r="H25" i="2"/>
  <c r="F25" i="2"/>
  <c r="P25" i="2" s="1"/>
  <c r="B25" i="2"/>
  <c r="L24" i="2"/>
  <c r="O24" i="2" s="1"/>
  <c r="U24" i="2" s="1"/>
  <c r="V24" i="2" s="1"/>
  <c r="J24" i="2"/>
  <c r="E39" i="5" s="1"/>
  <c r="I24" i="2"/>
  <c r="H24" i="2"/>
  <c r="F24" i="2"/>
  <c r="B24" i="2"/>
  <c r="O23" i="2"/>
  <c r="U23" i="2" s="1"/>
  <c r="V23" i="2" s="1"/>
  <c r="L23" i="2"/>
  <c r="N23" i="2" s="1"/>
  <c r="P23" i="2" s="1"/>
  <c r="J23" i="2"/>
  <c r="I23" i="2"/>
  <c r="H23" i="2"/>
  <c r="F23" i="2"/>
  <c r="B23" i="2"/>
  <c r="O22" i="2"/>
  <c r="U22" i="2" s="1"/>
  <c r="V22" i="2" s="1"/>
  <c r="N22" i="2"/>
  <c r="P22" i="2" s="1"/>
  <c r="L22" i="2"/>
  <c r="I22" i="2"/>
  <c r="J22" i="2" s="1"/>
  <c r="H22" i="2"/>
  <c r="F22" i="2"/>
  <c r="B22" i="2"/>
  <c r="N21" i="2"/>
  <c r="V14" i="1" s="1"/>
  <c r="L21" i="2"/>
  <c r="O21" i="2" s="1"/>
  <c r="U21" i="2" s="1"/>
  <c r="I21" i="2"/>
  <c r="J21" i="2" s="1"/>
  <c r="H21" i="2"/>
  <c r="F21" i="2"/>
  <c r="P21" i="2" s="1"/>
  <c r="B21" i="2"/>
  <c r="L20" i="2"/>
  <c r="J20" i="2"/>
  <c r="I20" i="2"/>
  <c r="H20" i="2"/>
  <c r="F20" i="2"/>
  <c r="B20" i="2"/>
  <c r="L19" i="2"/>
  <c r="N19" i="2" s="1"/>
  <c r="J19" i="2"/>
  <c r="I19" i="2"/>
  <c r="H19" i="2"/>
  <c r="F19" i="2"/>
  <c r="B19" i="2"/>
  <c r="O18" i="2"/>
  <c r="U18" i="2" s="1"/>
  <c r="V18" i="2" s="1"/>
  <c r="N18" i="2"/>
  <c r="P18" i="2" s="1"/>
  <c r="L18" i="2"/>
  <c r="I18" i="2"/>
  <c r="J18" i="2" s="1"/>
  <c r="H18" i="2"/>
  <c r="F18" i="2"/>
  <c r="B18" i="2"/>
  <c r="N17" i="2"/>
  <c r="L17" i="2"/>
  <c r="O17" i="2" s="1"/>
  <c r="U17" i="2" s="1"/>
  <c r="V17" i="2" s="1"/>
  <c r="I17" i="2"/>
  <c r="J17" i="2" s="1"/>
  <c r="H17" i="2"/>
  <c r="F17" i="2"/>
  <c r="P17" i="2" s="1"/>
  <c r="B17" i="2"/>
  <c r="L16" i="2"/>
  <c r="J16" i="2"/>
  <c r="I16" i="2"/>
  <c r="H16" i="2"/>
  <c r="F16" i="2"/>
  <c r="B16" i="2"/>
  <c r="O15" i="2"/>
  <c r="U15" i="2" s="1"/>
  <c r="V15" i="2" s="1"/>
  <c r="L15" i="2"/>
  <c r="N15" i="2" s="1"/>
  <c r="J15" i="2"/>
  <c r="I15" i="2"/>
  <c r="H15" i="2"/>
  <c r="F15" i="2"/>
  <c r="B15" i="2"/>
  <c r="O14" i="2"/>
  <c r="U14" i="2" s="1"/>
  <c r="N14" i="2"/>
  <c r="P14" i="2" s="1"/>
  <c r="L14" i="2"/>
  <c r="I14" i="2"/>
  <c r="J14" i="2" s="1"/>
  <c r="H14" i="2"/>
  <c r="F14" i="2"/>
  <c r="B14" i="2"/>
  <c r="N13" i="2"/>
  <c r="V11" i="1" s="1"/>
  <c r="L13" i="2"/>
  <c r="O13" i="2" s="1"/>
  <c r="U13" i="2" s="1"/>
  <c r="V13" i="2" s="1"/>
  <c r="I13" i="2"/>
  <c r="J13" i="2" s="1"/>
  <c r="H13" i="2"/>
  <c r="F13" i="2"/>
  <c r="P13" i="2" s="1"/>
  <c r="B13" i="2"/>
  <c r="L12" i="2"/>
  <c r="J12" i="2"/>
  <c r="I12" i="2"/>
  <c r="H12" i="2"/>
  <c r="F12" i="2"/>
  <c r="B12" i="2"/>
  <c r="L11" i="2"/>
  <c r="N11" i="2" s="1"/>
  <c r="J11" i="2"/>
  <c r="I11" i="2"/>
  <c r="H11" i="2"/>
  <c r="F11" i="2"/>
  <c r="B11" i="2"/>
  <c r="O10" i="2"/>
  <c r="U10" i="2" s="1"/>
  <c r="V10" i="2" s="1"/>
  <c r="N10" i="2"/>
  <c r="P10" i="2" s="1"/>
  <c r="L10" i="2"/>
  <c r="I10" i="2"/>
  <c r="J10" i="2" s="1"/>
  <c r="H10" i="2"/>
  <c r="F10" i="2"/>
  <c r="B10" i="2"/>
  <c r="H7" i="2"/>
  <c r="B7" i="2"/>
  <c r="V309" i="1"/>
  <c r="W309" i="1" s="1"/>
  <c r="U309" i="1"/>
  <c r="T309" i="1"/>
  <c r="Z309" i="1" s="1"/>
  <c r="Q309" i="1"/>
  <c r="P309" i="1"/>
  <c r="O309" i="1"/>
  <c r="N309" i="1"/>
  <c r="M309" i="1"/>
  <c r="L309" i="1"/>
  <c r="B309" i="1"/>
  <c r="V308" i="1"/>
  <c r="W308" i="1" s="1"/>
  <c r="U308" i="1"/>
  <c r="T308" i="1"/>
  <c r="Z308" i="1" s="1"/>
  <c r="Q308" i="1"/>
  <c r="P308" i="1"/>
  <c r="O308" i="1"/>
  <c r="N308" i="1"/>
  <c r="M308" i="1"/>
  <c r="L308" i="1"/>
  <c r="B308" i="1"/>
  <c r="V307" i="1"/>
  <c r="W307" i="1" s="1"/>
  <c r="U307" i="1"/>
  <c r="T307" i="1"/>
  <c r="Z307" i="1" s="1"/>
  <c r="Q307" i="1"/>
  <c r="P307" i="1"/>
  <c r="O307" i="1"/>
  <c r="N307" i="1"/>
  <c r="M307" i="1"/>
  <c r="L307" i="1"/>
  <c r="B307" i="1"/>
  <c r="V306" i="1"/>
  <c r="W306" i="1" s="1"/>
  <c r="U306" i="1"/>
  <c r="T306" i="1"/>
  <c r="Z306" i="1" s="1"/>
  <c r="Q306" i="1"/>
  <c r="P306" i="1"/>
  <c r="O306" i="1"/>
  <c r="N306" i="1"/>
  <c r="M306" i="1"/>
  <c r="L306" i="1"/>
  <c r="B306" i="1"/>
  <c r="V305" i="1"/>
  <c r="W305" i="1" s="1"/>
  <c r="U305" i="1"/>
  <c r="T305" i="1"/>
  <c r="Z305" i="1" s="1"/>
  <c r="Q305" i="1"/>
  <c r="P305" i="1"/>
  <c r="O305" i="1"/>
  <c r="N305" i="1"/>
  <c r="M305" i="1"/>
  <c r="L305" i="1"/>
  <c r="B305" i="1"/>
  <c r="V304" i="1"/>
  <c r="W304" i="1" s="1"/>
  <c r="U304" i="1"/>
  <c r="T304" i="1"/>
  <c r="Z304" i="1" s="1"/>
  <c r="Q304" i="1"/>
  <c r="P304" i="1"/>
  <c r="O304" i="1"/>
  <c r="N304" i="1"/>
  <c r="M304" i="1"/>
  <c r="L304" i="1"/>
  <c r="B304" i="1"/>
  <c r="V303" i="1"/>
  <c r="W303" i="1" s="1"/>
  <c r="U303" i="1"/>
  <c r="T303" i="1"/>
  <c r="Z303" i="1" s="1"/>
  <c r="Q303" i="1"/>
  <c r="P303" i="1"/>
  <c r="O303" i="1"/>
  <c r="N303" i="1"/>
  <c r="M303" i="1"/>
  <c r="L303" i="1"/>
  <c r="B303" i="1"/>
  <c r="V302" i="1"/>
  <c r="W302" i="1" s="1"/>
  <c r="U302" i="1"/>
  <c r="T302" i="1"/>
  <c r="Z302" i="1" s="1"/>
  <c r="Q302" i="1"/>
  <c r="P302" i="1"/>
  <c r="O302" i="1"/>
  <c r="N302" i="1"/>
  <c r="M302" i="1"/>
  <c r="L302" i="1"/>
  <c r="B302" i="1"/>
  <c r="V301" i="1"/>
  <c r="W301" i="1" s="1"/>
  <c r="U301" i="1"/>
  <c r="T301" i="1"/>
  <c r="Z301" i="1" s="1"/>
  <c r="Q301" i="1"/>
  <c r="P301" i="1"/>
  <c r="O301" i="1"/>
  <c r="N301" i="1"/>
  <c r="M301" i="1"/>
  <c r="L301" i="1"/>
  <c r="B301" i="1"/>
  <c r="V300" i="1"/>
  <c r="W300" i="1" s="1"/>
  <c r="U300" i="1"/>
  <c r="T300" i="1"/>
  <c r="Z300" i="1" s="1"/>
  <c r="Q300" i="1"/>
  <c r="P300" i="1"/>
  <c r="O300" i="1"/>
  <c r="N300" i="1"/>
  <c r="M300" i="1"/>
  <c r="L300" i="1"/>
  <c r="B300" i="1"/>
  <c r="V299" i="1"/>
  <c r="W299" i="1" s="1"/>
  <c r="U299" i="1"/>
  <c r="T299" i="1"/>
  <c r="Z299" i="1" s="1"/>
  <c r="Q299" i="1"/>
  <c r="P299" i="1"/>
  <c r="O299" i="1"/>
  <c r="N299" i="1"/>
  <c r="M299" i="1"/>
  <c r="L299" i="1"/>
  <c r="B299" i="1"/>
  <c r="V298" i="1"/>
  <c r="W298" i="1" s="1"/>
  <c r="U298" i="1"/>
  <c r="T298" i="1"/>
  <c r="Z298" i="1" s="1"/>
  <c r="Q298" i="1"/>
  <c r="P298" i="1"/>
  <c r="O298" i="1"/>
  <c r="N298" i="1"/>
  <c r="M298" i="1"/>
  <c r="L298" i="1"/>
  <c r="B298" i="1"/>
  <c r="V297" i="1"/>
  <c r="W297" i="1" s="1"/>
  <c r="U297" i="1"/>
  <c r="T297" i="1"/>
  <c r="Z297" i="1" s="1"/>
  <c r="Q297" i="1"/>
  <c r="P297" i="1"/>
  <c r="O297" i="1"/>
  <c r="N297" i="1"/>
  <c r="M297" i="1"/>
  <c r="L297" i="1"/>
  <c r="B297" i="1"/>
  <c r="V296" i="1"/>
  <c r="W296" i="1" s="1"/>
  <c r="U296" i="1"/>
  <c r="T296" i="1"/>
  <c r="Z296" i="1" s="1"/>
  <c r="Q296" i="1"/>
  <c r="P296" i="1"/>
  <c r="O296" i="1"/>
  <c r="N296" i="1"/>
  <c r="M296" i="1"/>
  <c r="L296" i="1"/>
  <c r="B296" i="1"/>
  <c r="V295" i="1"/>
  <c r="W295" i="1" s="1"/>
  <c r="U295" i="1"/>
  <c r="T295" i="1"/>
  <c r="Z295" i="1" s="1"/>
  <c r="Q295" i="1"/>
  <c r="P295" i="1"/>
  <c r="O295" i="1"/>
  <c r="N295" i="1"/>
  <c r="M295" i="1"/>
  <c r="L295" i="1"/>
  <c r="B295" i="1"/>
  <c r="V294" i="1"/>
  <c r="W294" i="1" s="1"/>
  <c r="U294" i="1"/>
  <c r="T294" i="1"/>
  <c r="Z294" i="1" s="1"/>
  <c r="Q294" i="1"/>
  <c r="P294" i="1"/>
  <c r="O294" i="1"/>
  <c r="N294" i="1"/>
  <c r="M294" i="1"/>
  <c r="L294" i="1"/>
  <c r="B294" i="1"/>
  <c r="V293" i="1"/>
  <c r="W293" i="1" s="1"/>
  <c r="U293" i="1"/>
  <c r="T293" i="1"/>
  <c r="Z293" i="1" s="1"/>
  <c r="Q293" i="1"/>
  <c r="P293" i="1"/>
  <c r="O293" i="1"/>
  <c r="N293" i="1"/>
  <c r="M293" i="1"/>
  <c r="L293" i="1"/>
  <c r="B293" i="1"/>
  <c r="V292" i="1"/>
  <c r="W292" i="1" s="1"/>
  <c r="U292" i="1"/>
  <c r="T292" i="1"/>
  <c r="Z292" i="1" s="1"/>
  <c r="Q292" i="1"/>
  <c r="P292" i="1"/>
  <c r="O292" i="1"/>
  <c r="N292" i="1"/>
  <c r="M292" i="1"/>
  <c r="L292" i="1"/>
  <c r="B292" i="1"/>
  <c r="V291" i="1"/>
  <c r="W291" i="1" s="1"/>
  <c r="U291" i="1"/>
  <c r="T291" i="1"/>
  <c r="Z291" i="1" s="1"/>
  <c r="Q291" i="1"/>
  <c r="P291" i="1"/>
  <c r="O291" i="1"/>
  <c r="N291" i="1"/>
  <c r="M291" i="1"/>
  <c r="L291" i="1"/>
  <c r="B291" i="1"/>
  <c r="V290" i="1"/>
  <c r="W290" i="1" s="1"/>
  <c r="U290" i="1"/>
  <c r="T290" i="1"/>
  <c r="Z290" i="1" s="1"/>
  <c r="Q290" i="1"/>
  <c r="P290" i="1"/>
  <c r="O290" i="1"/>
  <c r="N290" i="1"/>
  <c r="M290" i="1"/>
  <c r="L290" i="1"/>
  <c r="B290" i="1"/>
  <c r="V289" i="1"/>
  <c r="W289" i="1" s="1"/>
  <c r="U289" i="1"/>
  <c r="T289" i="1"/>
  <c r="Z289" i="1" s="1"/>
  <c r="Q289" i="1"/>
  <c r="P289" i="1"/>
  <c r="O289" i="1"/>
  <c r="N289" i="1"/>
  <c r="M289" i="1"/>
  <c r="L289" i="1"/>
  <c r="B289" i="1"/>
  <c r="V288" i="1"/>
  <c r="W288" i="1" s="1"/>
  <c r="U288" i="1"/>
  <c r="T288" i="1"/>
  <c r="Z288" i="1" s="1"/>
  <c r="Q288" i="1"/>
  <c r="P288" i="1"/>
  <c r="O288" i="1"/>
  <c r="N288" i="1"/>
  <c r="M288" i="1"/>
  <c r="L288" i="1"/>
  <c r="B288" i="1"/>
  <c r="V287" i="1"/>
  <c r="W287" i="1" s="1"/>
  <c r="U287" i="1"/>
  <c r="T287" i="1"/>
  <c r="Z287" i="1" s="1"/>
  <c r="Q287" i="1"/>
  <c r="P287" i="1"/>
  <c r="O287" i="1"/>
  <c r="N287" i="1"/>
  <c r="M287" i="1"/>
  <c r="L287" i="1"/>
  <c r="B287" i="1"/>
  <c r="V286" i="1"/>
  <c r="W286" i="1" s="1"/>
  <c r="U286" i="1"/>
  <c r="T286" i="1"/>
  <c r="Z286" i="1" s="1"/>
  <c r="Q286" i="1"/>
  <c r="P286" i="1"/>
  <c r="O286" i="1"/>
  <c r="N286" i="1"/>
  <c r="M286" i="1"/>
  <c r="L286" i="1"/>
  <c r="B286" i="1"/>
  <c r="V285" i="1"/>
  <c r="W285" i="1" s="1"/>
  <c r="U285" i="1"/>
  <c r="T285" i="1"/>
  <c r="Z285" i="1" s="1"/>
  <c r="Q285" i="1"/>
  <c r="P285" i="1"/>
  <c r="O285" i="1"/>
  <c r="N285" i="1"/>
  <c r="M285" i="1"/>
  <c r="L285" i="1"/>
  <c r="B285" i="1"/>
  <c r="W284" i="1"/>
  <c r="V284" i="1"/>
  <c r="U284" i="1"/>
  <c r="T284" i="1"/>
  <c r="Z284" i="1" s="1"/>
  <c r="Q284" i="1"/>
  <c r="P284" i="1"/>
  <c r="O284" i="1"/>
  <c r="N284" i="1"/>
  <c r="M284" i="1"/>
  <c r="L284" i="1"/>
  <c r="B284" i="1"/>
  <c r="W283" i="1"/>
  <c r="V283" i="1"/>
  <c r="U283" i="1"/>
  <c r="T283" i="1"/>
  <c r="Z283" i="1" s="1"/>
  <c r="Q283" i="1"/>
  <c r="P283" i="1"/>
  <c r="O283" i="1"/>
  <c r="N283" i="1"/>
  <c r="M283" i="1"/>
  <c r="L283" i="1"/>
  <c r="B283" i="1"/>
  <c r="W282" i="1"/>
  <c r="V282" i="1"/>
  <c r="U282" i="1"/>
  <c r="T282" i="1"/>
  <c r="Z282" i="1" s="1"/>
  <c r="Q282" i="1"/>
  <c r="P282" i="1"/>
  <c r="O282" i="1"/>
  <c r="N282" i="1"/>
  <c r="M282" i="1"/>
  <c r="L282" i="1"/>
  <c r="B282" i="1"/>
  <c r="W281" i="1"/>
  <c r="V281" i="1"/>
  <c r="U281" i="1"/>
  <c r="T281" i="1"/>
  <c r="Z281" i="1" s="1"/>
  <c r="Q281" i="1"/>
  <c r="P281" i="1"/>
  <c r="O281" i="1"/>
  <c r="N281" i="1"/>
  <c r="M281" i="1"/>
  <c r="L281" i="1"/>
  <c r="B281" i="1"/>
  <c r="W280" i="1"/>
  <c r="V280" i="1"/>
  <c r="U280" i="1"/>
  <c r="T280" i="1"/>
  <c r="Z280" i="1" s="1"/>
  <c r="Q280" i="1"/>
  <c r="P280" i="1"/>
  <c r="O280" i="1"/>
  <c r="N280" i="1"/>
  <c r="M280" i="1"/>
  <c r="L280" i="1"/>
  <c r="B280" i="1"/>
  <c r="W279" i="1"/>
  <c r="V279" i="1"/>
  <c r="U279" i="1"/>
  <c r="T279" i="1"/>
  <c r="Z279" i="1" s="1"/>
  <c r="Q279" i="1"/>
  <c r="P279" i="1"/>
  <c r="O279" i="1"/>
  <c r="N279" i="1"/>
  <c r="M279" i="1"/>
  <c r="L279" i="1"/>
  <c r="B279" i="1"/>
  <c r="W278" i="1"/>
  <c r="V278" i="1"/>
  <c r="U278" i="1"/>
  <c r="T278" i="1"/>
  <c r="Z278" i="1" s="1"/>
  <c r="Q278" i="1"/>
  <c r="P278" i="1"/>
  <c r="O278" i="1"/>
  <c r="N278" i="1"/>
  <c r="M278" i="1"/>
  <c r="L278" i="1"/>
  <c r="B278" i="1"/>
  <c r="W277" i="1"/>
  <c r="V277" i="1"/>
  <c r="U277" i="1"/>
  <c r="T277" i="1"/>
  <c r="Z277" i="1" s="1"/>
  <c r="Q277" i="1"/>
  <c r="P277" i="1"/>
  <c r="O277" i="1"/>
  <c r="N277" i="1"/>
  <c r="M277" i="1"/>
  <c r="L277" i="1"/>
  <c r="B277" i="1"/>
  <c r="W276" i="1"/>
  <c r="V276" i="1"/>
  <c r="U276" i="1"/>
  <c r="T276" i="1"/>
  <c r="Z276" i="1" s="1"/>
  <c r="Q276" i="1"/>
  <c r="P276" i="1"/>
  <c r="O276" i="1"/>
  <c r="N276" i="1"/>
  <c r="M276" i="1"/>
  <c r="L276" i="1"/>
  <c r="B276" i="1"/>
  <c r="W275" i="1"/>
  <c r="V275" i="1"/>
  <c r="U275" i="1"/>
  <c r="T275" i="1"/>
  <c r="Z275" i="1" s="1"/>
  <c r="Q275" i="1"/>
  <c r="P275" i="1"/>
  <c r="O275" i="1"/>
  <c r="N275" i="1"/>
  <c r="M275" i="1"/>
  <c r="L275" i="1"/>
  <c r="B275" i="1"/>
  <c r="W274" i="1"/>
  <c r="V274" i="1"/>
  <c r="U274" i="1"/>
  <c r="T274" i="1"/>
  <c r="Z274" i="1" s="1"/>
  <c r="Q274" i="1"/>
  <c r="P274" i="1"/>
  <c r="O274" i="1"/>
  <c r="N274" i="1"/>
  <c r="M274" i="1"/>
  <c r="L274" i="1"/>
  <c r="B274" i="1"/>
  <c r="W273" i="1"/>
  <c r="V273" i="1"/>
  <c r="U273" i="1"/>
  <c r="T273" i="1"/>
  <c r="Z273" i="1" s="1"/>
  <c r="Q273" i="1"/>
  <c r="P273" i="1"/>
  <c r="O273" i="1"/>
  <c r="N273" i="1"/>
  <c r="M273" i="1"/>
  <c r="L273" i="1"/>
  <c r="B273" i="1"/>
  <c r="W272" i="1"/>
  <c r="V272" i="1"/>
  <c r="U272" i="1"/>
  <c r="T272" i="1"/>
  <c r="Z272" i="1" s="1"/>
  <c r="Q272" i="1"/>
  <c r="P272" i="1"/>
  <c r="O272" i="1"/>
  <c r="N272" i="1"/>
  <c r="M272" i="1"/>
  <c r="L272" i="1"/>
  <c r="B272" i="1"/>
  <c r="W271" i="1"/>
  <c r="V271" i="1"/>
  <c r="U271" i="1"/>
  <c r="T271" i="1"/>
  <c r="Z271" i="1" s="1"/>
  <c r="Q271" i="1"/>
  <c r="P271" i="1"/>
  <c r="O271" i="1"/>
  <c r="N271" i="1"/>
  <c r="M271" i="1"/>
  <c r="L271" i="1"/>
  <c r="B271" i="1"/>
  <c r="W270" i="1"/>
  <c r="V270" i="1"/>
  <c r="U270" i="1"/>
  <c r="T270" i="1"/>
  <c r="Z270" i="1" s="1"/>
  <c r="Q270" i="1"/>
  <c r="P270" i="1"/>
  <c r="O270" i="1"/>
  <c r="N270" i="1"/>
  <c r="M270" i="1"/>
  <c r="L270" i="1"/>
  <c r="B270" i="1"/>
  <c r="W269" i="1"/>
  <c r="V269" i="1"/>
  <c r="U269" i="1"/>
  <c r="T269" i="1"/>
  <c r="Z269" i="1" s="1"/>
  <c r="Q269" i="1"/>
  <c r="P269" i="1"/>
  <c r="O269" i="1"/>
  <c r="N269" i="1"/>
  <c r="M269" i="1"/>
  <c r="L269" i="1"/>
  <c r="B269" i="1"/>
  <c r="W268" i="1"/>
  <c r="V268" i="1"/>
  <c r="U268" i="1"/>
  <c r="T268" i="1"/>
  <c r="Z268" i="1" s="1"/>
  <c r="Q268" i="1"/>
  <c r="P268" i="1"/>
  <c r="O268" i="1"/>
  <c r="N268" i="1"/>
  <c r="M268" i="1"/>
  <c r="L268" i="1"/>
  <c r="B268" i="1"/>
  <c r="W267" i="1"/>
  <c r="V267" i="1"/>
  <c r="U267" i="1"/>
  <c r="T267" i="1"/>
  <c r="Z267" i="1" s="1"/>
  <c r="Q267" i="1"/>
  <c r="P267" i="1"/>
  <c r="O267" i="1"/>
  <c r="N267" i="1"/>
  <c r="M267" i="1"/>
  <c r="L267" i="1"/>
  <c r="B267" i="1"/>
  <c r="W266" i="1"/>
  <c r="V266" i="1"/>
  <c r="U266" i="1"/>
  <c r="T266" i="1"/>
  <c r="Z266" i="1" s="1"/>
  <c r="Q266" i="1"/>
  <c r="P266" i="1"/>
  <c r="O266" i="1"/>
  <c r="N266" i="1"/>
  <c r="M266" i="1"/>
  <c r="L266" i="1"/>
  <c r="B266" i="1"/>
  <c r="W265" i="1"/>
  <c r="V265" i="1"/>
  <c r="U265" i="1"/>
  <c r="T265" i="1"/>
  <c r="Z265" i="1" s="1"/>
  <c r="Q265" i="1"/>
  <c r="P265" i="1"/>
  <c r="O265" i="1"/>
  <c r="N265" i="1"/>
  <c r="M265" i="1"/>
  <c r="L265" i="1"/>
  <c r="B265" i="1"/>
  <c r="W264" i="1"/>
  <c r="V264" i="1"/>
  <c r="U264" i="1"/>
  <c r="T264" i="1"/>
  <c r="Z264" i="1" s="1"/>
  <c r="Q264" i="1"/>
  <c r="P264" i="1"/>
  <c r="O264" i="1"/>
  <c r="N264" i="1"/>
  <c r="M264" i="1"/>
  <c r="L264" i="1"/>
  <c r="B264" i="1"/>
  <c r="W263" i="1"/>
  <c r="V263" i="1"/>
  <c r="U263" i="1"/>
  <c r="T263" i="1"/>
  <c r="Z263" i="1" s="1"/>
  <c r="Q263" i="1"/>
  <c r="P263" i="1"/>
  <c r="O263" i="1"/>
  <c r="N263" i="1"/>
  <c r="M263" i="1"/>
  <c r="L263" i="1"/>
  <c r="B263" i="1"/>
  <c r="W262" i="1"/>
  <c r="V262" i="1"/>
  <c r="U262" i="1"/>
  <c r="T262" i="1"/>
  <c r="Z262" i="1" s="1"/>
  <c r="Q262" i="1"/>
  <c r="P262" i="1"/>
  <c r="O262" i="1"/>
  <c r="N262" i="1"/>
  <c r="M262" i="1"/>
  <c r="L262" i="1"/>
  <c r="B262" i="1"/>
  <c r="W261" i="1"/>
  <c r="V261" i="1"/>
  <c r="U261" i="1"/>
  <c r="T261" i="1"/>
  <c r="Z261" i="1" s="1"/>
  <c r="Q261" i="1"/>
  <c r="P261" i="1"/>
  <c r="O261" i="1"/>
  <c r="N261" i="1"/>
  <c r="M261" i="1"/>
  <c r="L261" i="1"/>
  <c r="B261" i="1"/>
  <c r="W260" i="1"/>
  <c r="V260" i="1"/>
  <c r="U260" i="1"/>
  <c r="T260" i="1"/>
  <c r="Z260" i="1" s="1"/>
  <c r="Q260" i="1"/>
  <c r="P260" i="1"/>
  <c r="O260" i="1"/>
  <c r="N260" i="1"/>
  <c r="M260" i="1"/>
  <c r="L260" i="1"/>
  <c r="B260" i="1"/>
  <c r="W259" i="1"/>
  <c r="V259" i="1"/>
  <c r="U259" i="1"/>
  <c r="T259" i="1"/>
  <c r="Z259" i="1" s="1"/>
  <c r="Q259" i="1"/>
  <c r="P259" i="1"/>
  <c r="O259" i="1"/>
  <c r="N259" i="1"/>
  <c r="M259" i="1"/>
  <c r="L259" i="1"/>
  <c r="B259" i="1"/>
  <c r="W258" i="1"/>
  <c r="V258" i="1"/>
  <c r="U258" i="1"/>
  <c r="T258" i="1"/>
  <c r="Z258" i="1" s="1"/>
  <c r="Q258" i="1"/>
  <c r="P258" i="1"/>
  <c r="O258" i="1"/>
  <c r="N258" i="1"/>
  <c r="M258" i="1"/>
  <c r="L258" i="1"/>
  <c r="B258" i="1"/>
  <c r="W257" i="1"/>
  <c r="V257" i="1"/>
  <c r="U257" i="1"/>
  <c r="T257" i="1"/>
  <c r="Z257" i="1" s="1"/>
  <c r="Q257" i="1"/>
  <c r="P257" i="1"/>
  <c r="O257" i="1"/>
  <c r="N257" i="1"/>
  <c r="M257" i="1"/>
  <c r="L257" i="1"/>
  <c r="B257" i="1"/>
  <c r="W256" i="1"/>
  <c r="V256" i="1"/>
  <c r="U256" i="1"/>
  <c r="T256" i="1"/>
  <c r="Z256" i="1" s="1"/>
  <c r="Q256" i="1"/>
  <c r="P256" i="1"/>
  <c r="O256" i="1"/>
  <c r="N256" i="1"/>
  <c r="M256" i="1"/>
  <c r="L256" i="1"/>
  <c r="B256" i="1"/>
  <c r="W255" i="1"/>
  <c r="V255" i="1"/>
  <c r="U255" i="1"/>
  <c r="T255" i="1"/>
  <c r="Z255" i="1" s="1"/>
  <c r="Q255" i="1"/>
  <c r="P255" i="1"/>
  <c r="O255" i="1"/>
  <c r="N255" i="1"/>
  <c r="M255" i="1"/>
  <c r="L255" i="1"/>
  <c r="B255" i="1"/>
  <c r="W254" i="1"/>
  <c r="V254" i="1"/>
  <c r="U254" i="1"/>
  <c r="T254" i="1"/>
  <c r="Z254" i="1" s="1"/>
  <c r="Q254" i="1"/>
  <c r="P254" i="1"/>
  <c r="O254" i="1"/>
  <c r="N254" i="1"/>
  <c r="M254" i="1"/>
  <c r="L254" i="1"/>
  <c r="B254" i="1"/>
  <c r="W253" i="1"/>
  <c r="V253" i="1"/>
  <c r="U253" i="1"/>
  <c r="T253" i="1"/>
  <c r="Z253" i="1" s="1"/>
  <c r="Q253" i="1"/>
  <c r="P253" i="1"/>
  <c r="O253" i="1"/>
  <c r="N253" i="1"/>
  <c r="M253" i="1"/>
  <c r="L253" i="1"/>
  <c r="B253" i="1"/>
  <c r="W252" i="1"/>
  <c r="V252" i="1"/>
  <c r="U252" i="1"/>
  <c r="T252" i="1"/>
  <c r="Z252" i="1" s="1"/>
  <c r="Q252" i="1"/>
  <c r="P252" i="1"/>
  <c r="O252" i="1"/>
  <c r="N252" i="1"/>
  <c r="M252" i="1"/>
  <c r="L252" i="1"/>
  <c r="B252" i="1"/>
  <c r="W251" i="1"/>
  <c r="V251" i="1"/>
  <c r="U251" i="1"/>
  <c r="T251" i="1"/>
  <c r="Z251" i="1" s="1"/>
  <c r="Q251" i="1"/>
  <c r="P251" i="1"/>
  <c r="O251" i="1"/>
  <c r="N251" i="1"/>
  <c r="M251" i="1"/>
  <c r="L251" i="1"/>
  <c r="B251" i="1"/>
  <c r="W250" i="1"/>
  <c r="V250" i="1"/>
  <c r="U250" i="1"/>
  <c r="T250" i="1"/>
  <c r="Z250" i="1" s="1"/>
  <c r="Q250" i="1"/>
  <c r="P250" i="1"/>
  <c r="O250" i="1"/>
  <c r="N250" i="1"/>
  <c r="M250" i="1"/>
  <c r="L250" i="1"/>
  <c r="B250" i="1"/>
  <c r="W249" i="1"/>
  <c r="V249" i="1"/>
  <c r="U249" i="1"/>
  <c r="T249" i="1"/>
  <c r="Z249" i="1" s="1"/>
  <c r="Q249" i="1"/>
  <c r="P249" i="1"/>
  <c r="O249" i="1"/>
  <c r="N249" i="1"/>
  <c r="M249" i="1"/>
  <c r="L249" i="1"/>
  <c r="B249" i="1"/>
  <c r="W248" i="1"/>
  <c r="V248" i="1"/>
  <c r="U248" i="1"/>
  <c r="T248" i="1"/>
  <c r="Z248" i="1" s="1"/>
  <c r="Q248" i="1"/>
  <c r="P248" i="1"/>
  <c r="O248" i="1"/>
  <c r="N248" i="1"/>
  <c r="M248" i="1"/>
  <c r="L248" i="1"/>
  <c r="B248" i="1"/>
  <c r="W247" i="1"/>
  <c r="V247" i="1"/>
  <c r="U247" i="1"/>
  <c r="T247" i="1"/>
  <c r="Z247" i="1" s="1"/>
  <c r="Q247" i="1"/>
  <c r="P247" i="1"/>
  <c r="O247" i="1"/>
  <c r="N247" i="1"/>
  <c r="M247" i="1"/>
  <c r="L247" i="1"/>
  <c r="B247" i="1"/>
  <c r="W246" i="1"/>
  <c r="V246" i="1"/>
  <c r="U246" i="1"/>
  <c r="T246" i="1"/>
  <c r="Z246" i="1" s="1"/>
  <c r="Q246" i="1"/>
  <c r="P246" i="1"/>
  <c r="O246" i="1"/>
  <c r="N246" i="1"/>
  <c r="M246" i="1"/>
  <c r="L246" i="1"/>
  <c r="B246" i="1"/>
  <c r="W245" i="1"/>
  <c r="V245" i="1"/>
  <c r="U245" i="1"/>
  <c r="T245" i="1"/>
  <c r="Z245" i="1" s="1"/>
  <c r="Q245" i="1"/>
  <c r="P245" i="1"/>
  <c r="O245" i="1"/>
  <c r="N245" i="1"/>
  <c r="M245" i="1"/>
  <c r="L245" i="1"/>
  <c r="B245" i="1"/>
  <c r="W244" i="1"/>
  <c r="V244" i="1"/>
  <c r="U244" i="1"/>
  <c r="T244" i="1"/>
  <c r="Z244" i="1" s="1"/>
  <c r="Q244" i="1"/>
  <c r="P244" i="1"/>
  <c r="O244" i="1"/>
  <c r="N244" i="1"/>
  <c r="M244" i="1"/>
  <c r="L244" i="1"/>
  <c r="B244" i="1"/>
  <c r="W243" i="1"/>
  <c r="V243" i="1"/>
  <c r="U243" i="1"/>
  <c r="T243" i="1"/>
  <c r="Z243" i="1" s="1"/>
  <c r="Q243" i="1"/>
  <c r="P243" i="1"/>
  <c r="O243" i="1"/>
  <c r="N243" i="1"/>
  <c r="M243" i="1"/>
  <c r="L243" i="1"/>
  <c r="B243" i="1"/>
  <c r="W242" i="1"/>
  <c r="V242" i="1"/>
  <c r="U242" i="1"/>
  <c r="T242" i="1"/>
  <c r="Z242" i="1" s="1"/>
  <c r="Q242" i="1"/>
  <c r="P242" i="1"/>
  <c r="O242" i="1"/>
  <c r="N242" i="1"/>
  <c r="M242" i="1"/>
  <c r="L242" i="1"/>
  <c r="B242" i="1"/>
  <c r="W241" i="1"/>
  <c r="V241" i="1"/>
  <c r="U241" i="1"/>
  <c r="T241" i="1"/>
  <c r="Z241" i="1" s="1"/>
  <c r="Q241" i="1"/>
  <c r="P241" i="1"/>
  <c r="O241" i="1"/>
  <c r="N241" i="1"/>
  <c r="M241" i="1"/>
  <c r="L241" i="1"/>
  <c r="B241" i="1"/>
  <c r="W240" i="1"/>
  <c r="V240" i="1"/>
  <c r="U240" i="1"/>
  <c r="T240" i="1"/>
  <c r="Z240" i="1" s="1"/>
  <c r="Q240" i="1"/>
  <c r="P240" i="1"/>
  <c r="O240" i="1"/>
  <c r="N240" i="1"/>
  <c r="M240" i="1"/>
  <c r="L240" i="1"/>
  <c r="B240" i="1"/>
  <c r="W239" i="1"/>
  <c r="V239" i="1"/>
  <c r="U239" i="1"/>
  <c r="T239" i="1"/>
  <c r="Z239" i="1" s="1"/>
  <c r="Q239" i="1"/>
  <c r="P239" i="1"/>
  <c r="O239" i="1"/>
  <c r="N239" i="1"/>
  <c r="M239" i="1"/>
  <c r="L239" i="1"/>
  <c r="B239" i="1"/>
  <c r="W238" i="1"/>
  <c r="V238" i="1"/>
  <c r="U238" i="1"/>
  <c r="T238" i="1"/>
  <c r="Z238" i="1" s="1"/>
  <c r="Q238" i="1"/>
  <c r="P238" i="1"/>
  <c r="O238" i="1"/>
  <c r="N238" i="1"/>
  <c r="M238" i="1"/>
  <c r="L238" i="1"/>
  <c r="B238" i="1"/>
  <c r="W237" i="1"/>
  <c r="V237" i="1"/>
  <c r="U237" i="1"/>
  <c r="T237" i="1"/>
  <c r="Z237" i="1" s="1"/>
  <c r="Q237" i="1"/>
  <c r="P237" i="1"/>
  <c r="O237" i="1"/>
  <c r="N237" i="1"/>
  <c r="M237" i="1"/>
  <c r="L237" i="1"/>
  <c r="B237" i="1"/>
  <c r="W236" i="1"/>
  <c r="V236" i="1"/>
  <c r="U236" i="1"/>
  <c r="T236" i="1"/>
  <c r="Z236" i="1" s="1"/>
  <c r="Q236" i="1"/>
  <c r="P236" i="1"/>
  <c r="O236" i="1"/>
  <c r="N236" i="1"/>
  <c r="M236" i="1"/>
  <c r="L236" i="1"/>
  <c r="B236" i="1"/>
  <c r="W235" i="1"/>
  <c r="V235" i="1"/>
  <c r="U235" i="1"/>
  <c r="T235" i="1"/>
  <c r="Z235" i="1" s="1"/>
  <c r="Q235" i="1"/>
  <c r="P235" i="1"/>
  <c r="O235" i="1"/>
  <c r="N235" i="1"/>
  <c r="M235" i="1"/>
  <c r="L235" i="1"/>
  <c r="B235" i="1"/>
  <c r="W234" i="1"/>
  <c r="V234" i="1"/>
  <c r="U234" i="1"/>
  <c r="T234" i="1"/>
  <c r="Z234" i="1" s="1"/>
  <c r="Q234" i="1"/>
  <c r="P234" i="1"/>
  <c r="O234" i="1"/>
  <c r="N234" i="1"/>
  <c r="M234" i="1"/>
  <c r="L234" i="1"/>
  <c r="B234" i="1"/>
  <c r="W233" i="1"/>
  <c r="V233" i="1"/>
  <c r="U233" i="1"/>
  <c r="T233" i="1"/>
  <c r="Z233" i="1" s="1"/>
  <c r="Q233" i="1"/>
  <c r="P233" i="1"/>
  <c r="O233" i="1"/>
  <c r="N233" i="1"/>
  <c r="M233" i="1"/>
  <c r="L233" i="1"/>
  <c r="B233" i="1"/>
  <c r="W232" i="1"/>
  <c r="V232" i="1"/>
  <c r="U232" i="1"/>
  <c r="T232" i="1"/>
  <c r="Z232" i="1" s="1"/>
  <c r="Q232" i="1"/>
  <c r="P232" i="1"/>
  <c r="O232" i="1"/>
  <c r="N232" i="1"/>
  <c r="M232" i="1"/>
  <c r="L232" i="1"/>
  <c r="B232" i="1"/>
  <c r="W231" i="1"/>
  <c r="V231" i="1"/>
  <c r="U231" i="1"/>
  <c r="T231" i="1"/>
  <c r="Z231" i="1" s="1"/>
  <c r="Q231" i="1"/>
  <c r="P231" i="1"/>
  <c r="O231" i="1"/>
  <c r="N231" i="1"/>
  <c r="M231" i="1"/>
  <c r="L231" i="1"/>
  <c r="B231" i="1"/>
  <c r="W230" i="1"/>
  <c r="V230" i="1"/>
  <c r="U230" i="1"/>
  <c r="T230" i="1"/>
  <c r="Z230" i="1" s="1"/>
  <c r="Q230" i="1"/>
  <c r="P230" i="1"/>
  <c r="O230" i="1"/>
  <c r="N230" i="1"/>
  <c r="M230" i="1"/>
  <c r="L230" i="1"/>
  <c r="B230" i="1"/>
  <c r="W229" i="1"/>
  <c r="V229" i="1"/>
  <c r="U229" i="1"/>
  <c r="T229" i="1"/>
  <c r="Z229" i="1" s="1"/>
  <c r="Q229" i="1"/>
  <c r="P229" i="1"/>
  <c r="O229" i="1"/>
  <c r="N229" i="1"/>
  <c r="M229" i="1"/>
  <c r="L229" i="1"/>
  <c r="B229" i="1"/>
  <c r="W228" i="1"/>
  <c r="V228" i="1"/>
  <c r="U228" i="1"/>
  <c r="T228" i="1"/>
  <c r="Z228" i="1" s="1"/>
  <c r="Q228" i="1"/>
  <c r="P228" i="1"/>
  <c r="O228" i="1"/>
  <c r="N228" i="1"/>
  <c r="M228" i="1"/>
  <c r="L228" i="1"/>
  <c r="B228" i="1"/>
  <c r="W227" i="1"/>
  <c r="V227" i="1"/>
  <c r="U227" i="1"/>
  <c r="T227" i="1"/>
  <c r="Z227" i="1" s="1"/>
  <c r="Q227" i="1"/>
  <c r="P227" i="1"/>
  <c r="O227" i="1"/>
  <c r="N227" i="1"/>
  <c r="M227" i="1"/>
  <c r="L227" i="1"/>
  <c r="B227" i="1"/>
  <c r="W226" i="1"/>
  <c r="V226" i="1"/>
  <c r="U226" i="1"/>
  <c r="T226" i="1"/>
  <c r="Z226" i="1" s="1"/>
  <c r="Q226" i="1"/>
  <c r="P226" i="1"/>
  <c r="O226" i="1"/>
  <c r="N226" i="1"/>
  <c r="M226" i="1"/>
  <c r="L226" i="1"/>
  <c r="B226" i="1"/>
  <c r="W225" i="1"/>
  <c r="V225" i="1"/>
  <c r="U225" i="1"/>
  <c r="T225" i="1"/>
  <c r="Z225" i="1" s="1"/>
  <c r="Q225" i="1"/>
  <c r="P225" i="1"/>
  <c r="O225" i="1"/>
  <c r="N225" i="1"/>
  <c r="M225" i="1"/>
  <c r="L225" i="1"/>
  <c r="B225" i="1"/>
  <c r="W224" i="1"/>
  <c r="V224" i="1"/>
  <c r="U224" i="1"/>
  <c r="T224" i="1"/>
  <c r="Z224" i="1" s="1"/>
  <c r="Q224" i="1"/>
  <c r="P224" i="1"/>
  <c r="O224" i="1"/>
  <c r="N224" i="1"/>
  <c r="M224" i="1"/>
  <c r="L224" i="1"/>
  <c r="B224" i="1"/>
  <c r="W223" i="1"/>
  <c r="V223" i="1"/>
  <c r="U223" i="1"/>
  <c r="T223" i="1"/>
  <c r="Z223" i="1" s="1"/>
  <c r="Q223" i="1"/>
  <c r="P223" i="1"/>
  <c r="O223" i="1"/>
  <c r="N223" i="1"/>
  <c r="M223" i="1"/>
  <c r="L223" i="1"/>
  <c r="B223" i="1"/>
  <c r="W222" i="1"/>
  <c r="V222" i="1"/>
  <c r="U222" i="1"/>
  <c r="T222" i="1"/>
  <c r="Z222" i="1" s="1"/>
  <c r="Q222" i="1"/>
  <c r="P222" i="1"/>
  <c r="O222" i="1"/>
  <c r="N222" i="1"/>
  <c r="M222" i="1"/>
  <c r="L222" i="1"/>
  <c r="B222" i="1"/>
  <c r="W221" i="1"/>
  <c r="V221" i="1"/>
  <c r="U221" i="1"/>
  <c r="T221" i="1"/>
  <c r="Z221" i="1" s="1"/>
  <c r="Q221" i="1"/>
  <c r="P221" i="1"/>
  <c r="O221" i="1"/>
  <c r="N221" i="1"/>
  <c r="M221" i="1"/>
  <c r="L221" i="1"/>
  <c r="B221" i="1"/>
  <c r="W220" i="1"/>
  <c r="V220" i="1"/>
  <c r="U220" i="1"/>
  <c r="T220" i="1"/>
  <c r="Z220" i="1" s="1"/>
  <c r="Q220" i="1"/>
  <c r="P220" i="1"/>
  <c r="O220" i="1"/>
  <c r="N220" i="1"/>
  <c r="M220" i="1"/>
  <c r="L220" i="1"/>
  <c r="B220" i="1"/>
  <c r="W219" i="1"/>
  <c r="V219" i="1"/>
  <c r="U219" i="1"/>
  <c r="T219" i="1"/>
  <c r="Z219" i="1" s="1"/>
  <c r="Q219" i="1"/>
  <c r="P219" i="1"/>
  <c r="O219" i="1"/>
  <c r="N219" i="1"/>
  <c r="M219" i="1"/>
  <c r="L219" i="1"/>
  <c r="B219" i="1"/>
  <c r="W218" i="1"/>
  <c r="V218" i="1"/>
  <c r="U218" i="1"/>
  <c r="T218" i="1"/>
  <c r="Z218" i="1" s="1"/>
  <c r="Q218" i="1"/>
  <c r="P218" i="1"/>
  <c r="O218" i="1"/>
  <c r="N218" i="1"/>
  <c r="M218" i="1"/>
  <c r="L218" i="1"/>
  <c r="B218" i="1"/>
  <c r="W217" i="1"/>
  <c r="V217" i="1"/>
  <c r="U217" i="1"/>
  <c r="T217" i="1"/>
  <c r="Z217" i="1" s="1"/>
  <c r="Q217" i="1"/>
  <c r="P217" i="1"/>
  <c r="O217" i="1"/>
  <c r="N217" i="1"/>
  <c r="M217" i="1"/>
  <c r="L217" i="1"/>
  <c r="B217" i="1"/>
  <c r="W216" i="1"/>
  <c r="V216" i="1"/>
  <c r="U216" i="1"/>
  <c r="T216" i="1"/>
  <c r="Z216" i="1" s="1"/>
  <c r="Q216" i="1"/>
  <c r="P216" i="1"/>
  <c r="O216" i="1"/>
  <c r="N216" i="1"/>
  <c r="M216" i="1"/>
  <c r="L216" i="1"/>
  <c r="B216" i="1"/>
  <c r="W215" i="1"/>
  <c r="V215" i="1"/>
  <c r="U215" i="1"/>
  <c r="T215" i="1"/>
  <c r="Z215" i="1" s="1"/>
  <c r="Q215" i="1"/>
  <c r="P215" i="1"/>
  <c r="O215" i="1"/>
  <c r="N215" i="1"/>
  <c r="M215" i="1"/>
  <c r="L215" i="1"/>
  <c r="B215" i="1"/>
  <c r="W214" i="1"/>
  <c r="V214" i="1"/>
  <c r="U214" i="1"/>
  <c r="T214" i="1"/>
  <c r="Z214" i="1" s="1"/>
  <c r="Q214" i="1"/>
  <c r="P214" i="1"/>
  <c r="O214" i="1"/>
  <c r="N214" i="1"/>
  <c r="M214" i="1"/>
  <c r="L214" i="1"/>
  <c r="B214" i="1"/>
  <c r="W213" i="1"/>
  <c r="V213" i="1"/>
  <c r="U213" i="1"/>
  <c r="T213" i="1"/>
  <c r="Z213" i="1" s="1"/>
  <c r="Q213" i="1"/>
  <c r="P213" i="1"/>
  <c r="O213" i="1"/>
  <c r="N213" i="1"/>
  <c r="M213" i="1"/>
  <c r="L213" i="1"/>
  <c r="B213" i="1"/>
  <c r="W212" i="1"/>
  <c r="V212" i="1"/>
  <c r="U212" i="1"/>
  <c r="T212" i="1"/>
  <c r="Z212" i="1" s="1"/>
  <c r="Q212" i="1"/>
  <c r="P212" i="1"/>
  <c r="O212" i="1"/>
  <c r="N212" i="1"/>
  <c r="M212" i="1"/>
  <c r="L212" i="1"/>
  <c r="B212" i="1"/>
  <c r="W211" i="1"/>
  <c r="V211" i="1"/>
  <c r="U211" i="1"/>
  <c r="T211" i="1"/>
  <c r="Z211" i="1" s="1"/>
  <c r="Q211" i="1"/>
  <c r="P211" i="1"/>
  <c r="O211" i="1"/>
  <c r="N211" i="1"/>
  <c r="M211" i="1"/>
  <c r="L211" i="1"/>
  <c r="B211" i="1"/>
  <c r="W210" i="1"/>
  <c r="V210" i="1"/>
  <c r="U210" i="1"/>
  <c r="T210" i="1"/>
  <c r="Z210" i="1" s="1"/>
  <c r="Q210" i="1"/>
  <c r="P210" i="1"/>
  <c r="O210" i="1"/>
  <c r="N210" i="1"/>
  <c r="M210" i="1"/>
  <c r="L210" i="1"/>
  <c r="B210" i="1"/>
  <c r="W209" i="1"/>
  <c r="V209" i="1"/>
  <c r="U209" i="1"/>
  <c r="T209" i="1"/>
  <c r="Z209" i="1" s="1"/>
  <c r="Q209" i="1"/>
  <c r="P209" i="1"/>
  <c r="O209" i="1"/>
  <c r="N209" i="1"/>
  <c r="M209" i="1"/>
  <c r="L209" i="1"/>
  <c r="B209" i="1"/>
  <c r="W208" i="1"/>
  <c r="V208" i="1"/>
  <c r="U208" i="1"/>
  <c r="T208" i="1"/>
  <c r="Z208" i="1" s="1"/>
  <c r="Q208" i="1"/>
  <c r="P208" i="1"/>
  <c r="O208" i="1"/>
  <c r="N208" i="1"/>
  <c r="M208" i="1"/>
  <c r="L208" i="1"/>
  <c r="B208" i="1"/>
  <c r="W207" i="1"/>
  <c r="V207" i="1"/>
  <c r="U207" i="1"/>
  <c r="T207" i="1"/>
  <c r="Z207" i="1" s="1"/>
  <c r="Q207" i="1"/>
  <c r="P207" i="1"/>
  <c r="O207" i="1"/>
  <c r="N207" i="1"/>
  <c r="M207" i="1"/>
  <c r="L207" i="1"/>
  <c r="B207" i="1"/>
  <c r="W206" i="1"/>
  <c r="V206" i="1"/>
  <c r="U206" i="1"/>
  <c r="T206" i="1"/>
  <c r="Z206" i="1" s="1"/>
  <c r="Q206" i="1"/>
  <c r="P206" i="1"/>
  <c r="O206" i="1"/>
  <c r="N206" i="1"/>
  <c r="M206" i="1"/>
  <c r="L206" i="1"/>
  <c r="B206" i="1"/>
  <c r="W205" i="1"/>
  <c r="V205" i="1"/>
  <c r="U205" i="1"/>
  <c r="T205" i="1"/>
  <c r="Z205" i="1" s="1"/>
  <c r="Q205" i="1"/>
  <c r="P205" i="1"/>
  <c r="O205" i="1"/>
  <c r="N205" i="1"/>
  <c r="M205" i="1"/>
  <c r="L205" i="1"/>
  <c r="B205" i="1"/>
  <c r="W204" i="1"/>
  <c r="V204" i="1"/>
  <c r="U204" i="1"/>
  <c r="T204" i="1"/>
  <c r="Z204" i="1" s="1"/>
  <c r="Q204" i="1"/>
  <c r="P204" i="1"/>
  <c r="O204" i="1"/>
  <c r="N204" i="1"/>
  <c r="M204" i="1"/>
  <c r="L204" i="1"/>
  <c r="B204" i="1"/>
  <c r="W203" i="1"/>
  <c r="V203" i="1"/>
  <c r="U203" i="1"/>
  <c r="T203" i="1"/>
  <c r="Z203" i="1" s="1"/>
  <c r="Q203" i="1"/>
  <c r="P203" i="1"/>
  <c r="O203" i="1"/>
  <c r="N203" i="1"/>
  <c r="M203" i="1"/>
  <c r="L203" i="1"/>
  <c r="B203" i="1"/>
  <c r="W202" i="1"/>
  <c r="V202" i="1"/>
  <c r="U202" i="1"/>
  <c r="T202" i="1"/>
  <c r="Z202" i="1" s="1"/>
  <c r="Q202" i="1"/>
  <c r="P202" i="1"/>
  <c r="O202" i="1"/>
  <c r="N202" i="1"/>
  <c r="M202" i="1"/>
  <c r="L202" i="1"/>
  <c r="B202" i="1"/>
  <c r="W201" i="1"/>
  <c r="V201" i="1"/>
  <c r="U201" i="1"/>
  <c r="T201" i="1"/>
  <c r="Z201" i="1" s="1"/>
  <c r="Q201" i="1"/>
  <c r="P201" i="1"/>
  <c r="O201" i="1"/>
  <c r="N201" i="1"/>
  <c r="M201" i="1"/>
  <c r="L201" i="1"/>
  <c r="B201" i="1"/>
  <c r="W200" i="1"/>
  <c r="V200" i="1"/>
  <c r="U200" i="1"/>
  <c r="T200" i="1"/>
  <c r="Z200" i="1" s="1"/>
  <c r="Q200" i="1"/>
  <c r="P200" i="1"/>
  <c r="O200" i="1"/>
  <c r="N200" i="1"/>
  <c r="M200" i="1"/>
  <c r="L200" i="1"/>
  <c r="B200" i="1"/>
  <c r="W199" i="1"/>
  <c r="V199" i="1"/>
  <c r="U199" i="1"/>
  <c r="T199" i="1"/>
  <c r="Z199" i="1" s="1"/>
  <c r="Q199" i="1"/>
  <c r="P199" i="1"/>
  <c r="O199" i="1"/>
  <c r="N199" i="1"/>
  <c r="M199" i="1"/>
  <c r="L199" i="1"/>
  <c r="B199" i="1"/>
  <c r="W198" i="1"/>
  <c r="V198" i="1"/>
  <c r="U198" i="1"/>
  <c r="T198" i="1"/>
  <c r="Z198" i="1" s="1"/>
  <c r="Q198" i="1"/>
  <c r="P198" i="1"/>
  <c r="O198" i="1"/>
  <c r="N198" i="1"/>
  <c r="M198" i="1"/>
  <c r="L198" i="1"/>
  <c r="B198" i="1"/>
  <c r="W197" i="1"/>
  <c r="V197" i="1"/>
  <c r="U197" i="1"/>
  <c r="T197" i="1"/>
  <c r="Z197" i="1" s="1"/>
  <c r="Q197" i="1"/>
  <c r="P197" i="1"/>
  <c r="O197" i="1"/>
  <c r="N197" i="1"/>
  <c r="M197" i="1"/>
  <c r="L197" i="1"/>
  <c r="B197" i="1"/>
  <c r="W196" i="1"/>
  <c r="V196" i="1"/>
  <c r="U196" i="1"/>
  <c r="T196" i="1"/>
  <c r="Z196" i="1" s="1"/>
  <c r="Q196" i="1"/>
  <c r="P196" i="1"/>
  <c r="O196" i="1"/>
  <c r="N196" i="1"/>
  <c r="M196" i="1"/>
  <c r="L196" i="1"/>
  <c r="B196" i="1"/>
  <c r="W195" i="1"/>
  <c r="V195" i="1"/>
  <c r="U195" i="1"/>
  <c r="T195" i="1"/>
  <c r="Z195" i="1" s="1"/>
  <c r="Q195" i="1"/>
  <c r="P195" i="1"/>
  <c r="O195" i="1"/>
  <c r="N195" i="1"/>
  <c r="M195" i="1"/>
  <c r="L195" i="1"/>
  <c r="B195" i="1"/>
  <c r="W194" i="1"/>
  <c r="V194" i="1"/>
  <c r="U194" i="1"/>
  <c r="T194" i="1"/>
  <c r="Z194" i="1" s="1"/>
  <c r="Q194" i="1"/>
  <c r="P194" i="1"/>
  <c r="O194" i="1"/>
  <c r="N194" i="1"/>
  <c r="M194" i="1"/>
  <c r="L194" i="1"/>
  <c r="B194" i="1"/>
  <c r="W193" i="1"/>
  <c r="V193" i="1"/>
  <c r="U193" i="1"/>
  <c r="T193" i="1"/>
  <c r="Z193" i="1" s="1"/>
  <c r="Q193" i="1"/>
  <c r="P193" i="1"/>
  <c r="O193" i="1"/>
  <c r="N193" i="1"/>
  <c r="M193" i="1"/>
  <c r="L193" i="1"/>
  <c r="B193" i="1"/>
  <c r="W192" i="1"/>
  <c r="V192" i="1"/>
  <c r="U192" i="1"/>
  <c r="T192" i="1"/>
  <c r="Z192" i="1" s="1"/>
  <c r="Q192" i="1"/>
  <c r="P192" i="1"/>
  <c r="O192" i="1"/>
  <c r="N192" i="1"/>
  <c r="M192" i="1"/>
  <c r="L192" i="1"/>
  <c r="B192" i="1"/>
  <c r="W191" i="1"/>
  <c r="V191" i="1"/>
  <c r="U191" i="1"/>
  <c r="T191" i="1"/>
  <c r="Z191" i="1" s="1"/>
  <c r="Q191" i="1"/>
  <c r="P191" i="1"/>
  <c r="O191" i="1"/>
  <c r="N191" i="1"/>
  <c r="M191" i="1"/>
  <c r="L191" i="1"/>
  <c r="B191" i="1"/>
  <c r="W190" i="1"/>
  <c r="V190" i="1"/>
  <c r="U190" i="1"/>
  <c r="T190" i="1"/>
  <c r="Z190" i="1" s="1"/>
  <c r="Q190" i="1"/>
  <c r="P190" i="1"/>
  <c r="O190" i="1"/>
  <c r="N190" i="1"/>
  <c r="M190" i="1"/>
  <c r="L190" i="1"/>
  <c r="B190" i="1"/>
  <c r="W189" i="1"/>
  <c r="V189" i="1"/>
  <c r="U189" i="1"/>
  <c r="T189" i="1"/>
  <c r="Z189" i="1" s="1"/>
  <c r="Q189" i="1"/>
  <c r="P189" i="1"/>
  <c r="O189" i="1"/>
  <c r="N189" i="1"/>
  <c r="M189" i="1"/>
  <c r="L189" i="1"/>
  <c r="B189" i="1"/>
  <c r="W188" i="1"/>
  <c r="V188" i="1"/>
  <c r="U188" i="1"/>
  <c r="T188" i="1"/>
  <c r="Z188" i="1" s="1"/>
  <c r="Q188" i="1"/>
  <c r="P188" i="1"/>
  <c r="O188" i="1"/>
  <c r="N188" i="1"/>
  <c r="M188" i="1"/>
  <c r="L188" i="1"/>
  <c r="B188" i="1"/>
  <c r="W187" i="1"/>
  <c r="V187" i="1"/>
  <c r="U187" i="1"/>
  <c r="T187" i="1"/>
  <c r="Z187" i="1" s="1"/>
  <c r="Q187" i="1"/>
  <c r="P187" i="1"/>
  <c r="O187" i="1"/>
  <c r="N187" i="1"/>
  <c r="M187" i="1"/>
  <c r="L187" i="1"/>
  <c r="B187" i="1"/>
  <c r="W186" i="1"/>
  <c r="V186" i="1"/>
  <c r="U186" i="1"/>
  <c r="T186" i="1"/>
  <c r="Z186" i="1" s="1"/>
  <c r="Q186" i="1"/>
  <c r="P186" i="1"/>
  <c r="O186" i="1"/>
  <c r="N186" i="1"/>
  <c r="M186" i="1"/>
  <c r="L186" i="1"/>
  <c r="B186" i="1"/>
  <c r="W185" i="1"/>
  <c r="V185" i="1"/>
  <c r="U185" i="1"/>
  <c r="T185" i="1"/>
  <c r="Z185" i="1" s="1"/>
  <c r="Q185" i="1"/>
  <c r="P185" i="1"/>
  <c r="O185" i="1"/>
  <c r="N185" i="1"/>
  <c r="M185" i="1"/>
  <c r="L185" i="1"/>
  <c r="B185" i="1"/>
  <c r="W184" i="1"/>
  <c r="V184" i="1"/>
  <c r="U184" i="1"/>
  <c r="T184" i="1"/>
  <c r="Z184" i="1" s="1"/>
  <c r="Q184" i="1"/>
  <c r="P184" i="1"/>
  <c r="O184" i="1"/>
  <c r="N184" i="1"/>
  <c r="M184" i="1"/>
  <c r="L184" i="1"/>
  <c r="B184" i="1"/>
  <c r="W183" i="1"/>
  <c r="V183" i="1"/>
  <c r="U183" i="1"/>
  <c r="T183" i="1"/>
  <c r="Z183" i="1" s="1"/>
  <c r="Q183" i="1"/>
  <c r="P183" i="1"/>
  <c r="O183" i="1"/>
  <c r="N183" i="1"/>
  <c r="M183" i="1"/>
  <c r="L183" i="1"/>
  <c r="B183" i="1"/>
  <c r="W182" i="1"/>
  <c r="V182" i="1"/>
  <c r="U182" i="1"/>
  <c r="T182" i="1"/>
  <c r="Z182" i="1" s="1"/>
  <c r="Q182" i="1"/>
  <c r="P182" i="1"/>
  <c r="O182" i="1"/>
  <c r="N182" i="1"/>
  <c r="M182" i="1"/>
  <c r="L182" i="1"/>
  <c r="B182" i="1"/>
  <c r="W181" i="1"/>
  <c r="V181" i="1"/>
  <c r="U181" i="1"/>
  <c r="T181" i="1"/>
  <c r="Z181" i="1" s="1"/>
  <c r="Q181" i="1"/>
  <c r="P181" i="1"/>
  <c r="O181" i="1"/>
  <c r="N181" i="1"/>
  <c r="M181" i="1"/>
  <c r="L181" i="1"/>
  <c r="B181" i="1"/>
  <c r="W180" i="1"/>
  <c r="V180" i="1"/>
  <c r="U180" i="1"/>
  <c r="T180" i="1"/>
  <c r="Z180" i="1" s="1"/>
  <c r="Q180" i="1"/>
  <c r="P180" i="1"/>
  <c r="O180" i="1"/>
  <c r="N180" i="1"/>
  <c r="M180" i="1"/>
  <c r="L180" i="1"/>
  <c r="B180" i="1"/>
  <c r="W179" i="1"/>
  <c r="V179" i="1"/>
  <c r="U179" i="1"/>
  <c r="T179" i="1"/>
  <c r="Z179" i="1" s="1"/>
  <c r="Q179" i="1"/>
  <c r="P179" i="1"/>
  <c r="O179" i="1"/>
  <c r="N179" i="1"/>
  <c r="M179" i="1"/>
  <c r="L179" i="1"/>
  <c r="B179" i="1"/>
  <c r="W178" i="1"/>
  <c r="V178" i="1"/>
  <c r="U178" i="1"/>
  <c r="T178" i="1"/>
  <c r="Z178" i="1" s="1"/>
  <c r="Q178" i="1"/>
  <c r="P178" i="1"/>
  <c r="O178" i="1"/>
  <c r="N178" i="1"/>
  <c r="M178" i="1"/>
  <c r="L178" i="1"/>
  <c r="B178" i="1"/>
  <c r="W177" i="1"/>
  <c r="V177" i="1"/>
  <c r="U177" i="1"/>
  <c r="T177" i="1"/>
  <c r="Z177" i="1" s="1"/>
  <c r="Q177" i="1"/>
  <c r="P177" i="1"/>
  <c r="O177" i="1"/>
  <c r="N177" i="1"/>
  <c r="M177" i="1"/>
  <c r="L177" i="1"/>
  <c r="B177" i="1"/>
  <c r="W176" i="1"/>
  <c r="V176" i="1"/>
  <c r="U176" i="1"/>
  <c r="T176" i="1"/>
  <c r="Z176" i="1" s="1"/>
  <c r="Q176" i="1"/>
  <c r="P176" i="1"/>
  <c r="O176" i="1"/>
  <c r="N176" i="1"/>
  <c r="M176" i="1"/>
  <c r="L176" i="1"/>
  <c r="B176" i="1"/>
  <c r="W175" i="1"/>
  <c r="V175" i="1"/>
  <c r="U175" i="1"/>
  <c r="T175" i="1"/>
  <c r="Z175" i="1" s="1"/>
  <c r="Q175" i="1"/>
  <c r="P175" i="1"/>
  <c r="O175" i="1"/>
  <c r="N175" i="1"/>
  <c r="M175" i="1"/>
  <c r="L175" i="1"/>
  <c r="B175" i="1"/>
  <c r="W174" i="1"/>
  <c r="V174" i="1"/>
  <c r="U174" i="1"/>
  <c r="T174" i="1"/>
  <c r="Z174" i="1" s="1"/>
  <c r="Q174" i="1"/>
  <c r="P174" i="1"/>
  <c r="O174" i="1"/>
  <c r="N174" i="1"/>
  <c r="M174" i="1"/>
  <c r="L174" i="1"/>
  <c r="B174" i="1"/>
  <c r="W173" i="1"/>
  <c r="V173" i="1"/>
  <c r="U173" i="1"/>
  <c r="T173" i="1"/>
  <c r="Z173" i="1" s="1"/>
  <c r="Q173" i="1"/>
  <c r="P173" i="1"/>
  <c r="O173" i="1"/>
  <c r="N173" i="1"/>
  <c r="M173" i="1"/>
  <c r="L173" i="1"/>
  <c r="B173" i="1"/>
  <c r="W172" i="1"/>
  <c r="V172" i="1"/>
  <c r="U172" i="1"/>
  <c r="T172" i="1"/>
  <c r="Z172" i="1" s="1"/>
  <c r="Q172" i="1"/>
  <c r="P172" i="1"/>
  <c r="O172" i="1"/>
  <c r="N172" i="1"/>
  <c r="M172" i="1"/>
  <c r="L172" i="1"/>
  <c r="B172" i="1"/>
  <c r="W171" i="1"/>
  <c r="V171" i="1"/>
  <c r="U171" i="1"/>
  <c r="T171" i="1"/>
  <c r="Z171" i="1" s="1"/>
  <c r="Q171" i="1"/>
  <c r="P171" i="1"/>
  <c r="O171" i="1"/>
  <c r="N171" i="1"/>
  <c r="M171" i="1"/>
  <c r="L171" i="1"/>
  <c r="B171" i="1"/>
  <c r="W170" i="1"/>
  <c r="V170" i="1"/>
  <c r="U170" i="1"/>
  <c r="T170" i="1"/>
  <c r="Z170" i="1" s="1"/>
  <c r="Q170" i="1"/>
  <c r="P170" i="1"/>
  <c r="O170" i="1"/>
  <c r="N170" i="1"/>
  <c r="M170" i="1"/>
  <c r="L170" i="1"/>
  <c r="B170" i="1"/>
  <c r="W169" i="1"/>
  <c r="V169" i="1"/>
  <c r="U169" i="1"/>
  <c r="T169" i="1"/>
  <c r="Z169" i="1" s="1"/>
  <c r="Q169" i="1"/>
  <c r="P169" i="1"/>
  <c r="O169" i="1"/>
  <c r="N169" i="1"/>
  <c r="M169" i="1"/>
  <c r="L169" i="1"/>
  <c r="B169" i="1"/>
  <c r="W168" i="1"/>
  <c r="V168" i="1"/>
  <c r="U168" i="1"/>
  <c r="T168" i="1"/>
  <c r="Z168" i="1" s="1"/>
  <c r="Q168" i="1"/>
  <c r="P168" i="1"/>
  <c r="O168" i="1"/>
  <c r="N168" i="1"/>
  <c r="M168" i="1"/>
  <c r="L168" i="1"/>
  <c r="B168" i="1"/>
  <c r="W167" i="1"/>
  <c r="V167" i="1"/>
  <c r="U167" i="1"/>
  <c r="T167" i="1"/>
  <c r="Z167" i="1" s="1"/>
  <c r="Q167" i="1"/>
  <c r="P167" i="1"/>
  <c r="O167" i="1"/>
  <c r="N167" i="1"/>
  <c r="M167" i="1"/>
  <c r="L167" i="1"/>
  <c r="B167" i="1"/>
  <c r="W166" i="1"/>
  <c r="V166" i="1"/>
  <c r="U166" i="1"/>
  <c r="T166" i="1"/>
  <c r="Z166" i="1" s="1"/>
  <c r="Q166" i="1"/>
  <c r="P166" i="1"/>
  <c r="O166" i="1"/>
  <c r="N166" i="1"/>
  <c r="M166" i="1"/>
  <c r="L166" i="1"/>
  <c r="B166" i="1"/>
  <c r="W165" i="1"/>
  <c r="V165" i="1"/>
  <c r="U165" i="1"/>
  <c r="T165" i="1"/>
  <c r="Z165" i="1" s="1"/>
  <c r="Q165" i="1"/>
  <c r="P165" i="1"/>
  <c r="O165" i="1"/>
  <c r="N165" i="1"/>
  <c r="M165" i="1"/>
  <c r="L165" i="1"/>
  <c r="B165" i="1"/>
  <c r="W164" i="1"/>
  <c r="V164" i="1"/>
  <c r="U164" i="1"/>
  <c r="T164" i="1"/>
  <c r="Z164" i="1" s="1"/>
  <c r="Q164" i="1"/>
  <c r="P164" i="1"/>
  <c r="O164" i="1"/>
  <c r="N164" i="1"/>
  <c r="M164" i="1"/>
  <c r="L164" i="1"/>
  <c r="B164" i="1"/>
  <c r="W163" i="1"/>
  <c r="V163" i="1"/>
  <c r="U163" i="1"/>
  <c r="T163" i="1"/>
  <c r="Z163" i="1" s="1"/>
  <c r="Q163" i="1"/>
  <c r="P163" i="1"/>
  <c r="O163" i="1"/>
  <c r="N163" i="1"/>
  <c r="M163" i="1"/>
  <c r="L163" i="1"/>
  <c r="B163" i="1"/>
  <c r="W162" i="1"/>
  <c r="V162" i="1"/>
  <c r="U162" i="1"/>
  <c r="T162" i="1"/>
  <c r="Z162" i="1" s="1"/>
  <c r="Q162" i="1"/>
  <c r="P162" i="1"/>
  <c r="O162" i="1"/>
  <c r="N162" i="1"/>
  <c r="M162" i="1"/>
  <c r="L162" i="1"/>
  <c r="B162" i="1"/>
  <c r="W161" i="1"/>
  <c r="V161" i="1"/>
  <c r="U161" i="1"/>
  <c r="T161" i="1"/>
  <c r="Z161" i="1" s="1"/>
  <c r="Q161" i="1"/>
  <c r="P161" i="1"/>
  <c r="O161" i="1"/>
  <c r="N161" i="1"/>
  <c r="M161" i="1"/>
  <c r="L161" i="1"/>
  <c r="B161" i="1"/>
  <c r="W160" i="1"/>
  <c r="V160" i="1"/>
  <c r="U160" i="1"/>
  <c r="T160" i="1"/>
  <c r="Z160" i="1" s="1"/>
  <c r="Q160" i="1"/>
  <c r="P160" i="1"/>
  <c r="O160" i="1"/>
  <c r="N160" i="1"/>
  <c r="M160" i="1"/>
  <c r="L160" i="1"/>
  <c r="B160" i="1"/>
  <c r="W159" i="1"/>
  <c r="V159" i="1"/>
  <c r="U159" i="1"/>
  <c r="T159" i="1"/>
  <c r="Z159" i="1" s="1"/>
  <c r="Q159" i="1"/>
  <c r="P159" i="1"/>
  <c r="O159" i="1"/>
  <c r="N159" i="1"/>
  <c r="M159" i="1"/>
  <c r="L159" i="1"/>
  <c r="B159" i="1"/>
  <c r="W158" i="1"/>
  <c r="V158" i="1"/>
  <c r="U158" i="1"/>
  <c r="T158" i="1"/>
  <c r="Z158" i="1" s="1"/>
  <c r="Q158" i="1"/>
  <c r="P158" i="1"/>
  <c r="O158" i="1"/>
  <c r="N158" i="1"/>
  <c r="M158" i="1"/>
  <c r="L158" i="1"/>
  <c r="B158" i="1"/>
  <c r="W157" i="1"/>
  <c r="V157" i="1"/>
  <c r="U157" i="1"/>
  <c r="T157" i="1"/>
  <c r="Z157" i="1" s="1"/>
  <c r="Q157" i="1"/>
  <c r="P157" i="1"/>
  <c r="O157" i="1"/>
  <c r="N157" i="1"/>
  <c r="M157" i="1"/>
  <c r="L157" i="1"/>
  <c r="B157" i="1"/>
  <c r="W156" i="1"/>
  <c r="V156" i="1"/>
  <c r="U156" i="1"/>
  <c r="T156" i="1"/>
  <c r="Z156" i="1" s="1"/>
  <c r="Q156" i="1"/>
  <c r="P156" i="1"/>
  <c r="O156" i="1"/>
  <c r="N156" i="1"/>
  <c r="M156" i="1"/>
  <c r="L156" i="1"/>
  <c r="B156" i="1"/>
  <c r="W155" i="1"/>
  <c r="V155" i="1"/>
  <c r="U155" i="1"/>
  <c r="T155" i="1"/>
  <c r="Z155" i="1" s="1"/>
  <c r="Q155" i="1"/>
  <c r="P155" i="1"/>
  <c r="O155" i="1"/>
  <c r="N155" i="1"/>
  <c r="M155" i="1"/>
  <c r="L155" i="1"/>
  <c r="B155" i="1"/>
  <c r="W154" i="1"/>
  <c r="V154" i="1"/>
  <c r="U154" i="1"/>
  <c r="T154" i="1"/>
  <c r="Z154" i="1" s="1"/>
  <c r="Q154" i="1"/>
  <c r="P154" i="1"/>
  <c r="O154" i="1"/>
  <c r="N154" i="1"/>
  <c r="M154" i="1"/>
  <c r="L154" i="1"/>
  <c r="B154" i="1"/>
  <c r="W153" i="1"/>
  <c r="V153" i="1"/>
  <c r="U153" i="1"/>
  <c r="T153" i="1"/>
  <c r="Z153" i="1" s="1"/>
  <c r="Q153" i="1"/>
  <c r="P153" i="1"/>
  <c r="O153" i="1"/>
  <c r="N153" i="1"/>
  <c r="M153" i="1"/>
  <c r="L153" i="1"/>
  <c r="B153" i="1"/>
  <c r="W152" i="1"/>
  <c r="V152" i="1"/>
  <c r="U152" i="1"/>
  <c r="T152" i="1"/>
  <c r="Z152" i="1" s="1"/>
  <c r="Q152" i="1"/>
  <c r="P152" i="1"/>
  <c r="O152" i="1"/>
  <c r="N152" i="1"/>
  <c r="M152" i="1"/>
  <c r="L152" i="1"/>
  <c r="B152" i="1"/>
  <c r="W151" i="1"/>
  <c r="V151" i="1"/>
  <c r="U151" i="1"/>
  <c r="T151" i="1"/>
  <c r="Z151" i="1" s="1"/>
  <c r="Q151" i="1"/>
  <c r="P151" i="1"/>
  <c r="O151" i="1"/>
  <c r="N151" i="1"/>
  <c r="M151" i="1"/>
  <c r="L151" i="1"/>
  <c r="B151" i="1"/>
  <c r="W150" i="1"/>
  <c r="V150" i="1"/>
  <c r="U150" i="1"/>
  <c r="T150" i="1"/>
  <c r="Z150" i="1" s="1"/>
  <c r="Q150" i="1"/>
  <c r="P150" i="1"/>
  <c r="O150" i="1"/>
  <c r="N150" i="1"/>
  <c r="M150" i="1"/>
  <c r="L150" i="1"/>
  <c r="B150" i="1"/>
  <c r="W149" i="1"/>
  <c r="V149" i="1"/>
  <c r="U149" i="1"/>
  <c r="T149" i="1"/>
  <c r="Z149" i="1" s="1"/>
  <c r="Q149" i="1"/>
  <c r="P149" i="1"/>
  <c r="O149" i="1"/>
  <c r="N149" i="1"/>
  <c r="M149" i="1"/>
  <c r="L149" i="1"/>
  <c r="B149" i="1"/>
  <c r="W148" i="1"/>
  <c r="V148" i="1"/>
  <c r="U148" i="1"/>
  <c r="T148" i="1"/>
  <c r="Z148" i="1" s="1"/>
  <c r="Q148" i="1"/>
  <c r="P148" i="1"/>
  <c r="O148" i="1"/>
  <c r="N148" i="1"/>
  <c r="M148" i="1"/>
  <c r="L148" i="1"/>
  <c r="B148" i="1"/>
  <c r="W147" i="1"/>
  <c r="V147" i="1"/>
  <c r="U147" i="1"/>
  <c r="T147" i="1"/>
  <c r="Z147" i="1" s="1"/>
  <c r="Q147" i="1"/>
  <c r="P147" i="1"/>
  <c r="O147" i="1"/>
  <c r="N147" i="1"/>
  <c r="M147" i="1"/>
  <c r="L147" i="1"/>
  <c r="B147" i="1"/>
  <c r="W146" i="1"/>
  <c r="V146" i="1"/>
  <c r="U146" i="1"/>
  <c r="T146" i="1"/>
  <c r="Z146" i="1" s="1"/>
  <c r="Q146" i="1"/>
  <c r="P146" i="1"/>
  <c r="O146" i="1"/>
  <c r="N146" i="1"/>
  <c r="M146" i="1"/>
  <c r="L146" i="1"/>
  <c r="B146" i="1"/>
  <c r="W145" i="1"/>
  <c r="V145" i="1"/>
  <c r="U145" i="1"/>
  <c r="T145" i="1"/>
  <c r="Z145" i="1" s="1"/>
  <c r="Q145" i="1"/>
  <c r="P145" i="1"/>
  <c r="O145" i="1"/>
  <c r="N145" i="1"/>
  <c r="M145" i="1"/>
  <c r="L145" i="1"/>
  <c r="B145" i="1"/>
  <c r="W144" i="1"/>
  <c r="V144" i="1"/>
  <c r="U144" i="1"/>
  <c r="T144" i="1"/>
  <c r="Z144" i="1" s="1"/>
  <c r="Q144" i="1"/>
  <c r="P144" i="1"/>
  <c r="O144" i="1"/>
  <c r="N144" i="1"/>
  <c r="M144" i="1"/>
  <c r="L144" i="1"/>
  <c r="B144" i="1"/>
  <c r="W143" i="1"/>
  <c r="V143" i="1"/>
  <c r="U143" i="1"/>
  <c r="T143" i="1"/>
  <c r="Z143" i="1" s="1"/>
  <c r="Q143" i="1"/>
  <c r="P143" i="1"/>
  <c r="O143" i="1"/>
  <c r="N143" i="1"/>
  <c r="M143" i="1"/>
  <c r="L143" i="1"/>
  <c r="B143" i="1"/>
  <c r="W142" i="1"/>
  <c r="V142" i="1"/>
  <c r="U142" i="1"/>
  <c r="T142" i="1"/>
  <c r="Z142" i="1" s="1"/>
  <c r="Q142" i="1"/>
  <c r="P142" i="1"/>
  <c r="O142" i="1"/>
  <c r="N142" i="1"/>
  <c r="M142" i="1"/>
  <c r="L142" i="1"/>
  <c r="B142" i="1"/>
  <c r="W141" i="1"/>
  <c r="V141" i="1"/>
  <c r="U141" i="1"/>
  <c r="T141" i="1"/>
  <c r="Z141" i="1" s="1"/>
  <c r="Q141" i="1"/>
  <c r="P141" i="1"/>
  <c r="O141" i="1"/>
  <c r="N141" i="1"/>
  <c r="M141" i="1"/>
  <c r="L141" i="1"/>
  <c r="B141" i="1"/>
  <c r="W140" i="1"/>
  <c r="V140" i="1"/>
  <c r="U140" i="1"/>
  <c r="T140" i="1"/>
  <c r="Z140" i="1" s="1"/>
  <c r="Q140" i="1"/>
  <c r="P140" i="1"/>
  <c r="O140" i="1"/>
  <c r="N140" i="1"/>
  <c r="M140" i="1"/>
  <c r="L140" i="1"/>
  <c r="B140" i="1"/>
  <c r="W139" i="1"/>
  <c r="V139" i="1"/>
  <c r="U139" i="1"/>
  <c r="T139" i="1"/>
  <c r="Z139" i="1" s="1"/>
  <c r="Q139" i="1"/>
  <c r="P139" i="1"/>
  <c r="O139" i="1"/>
  <c r="N139" i="1"/>
  <c r="M139" i="1"/>
  <c r="L139" i="1"/>
  <c r="B139" i="1"/>
  <c r="W138" i="1"/>
  <c r="V138" i="1"/>
  <c r="U138" i="1"/>
  <c r="T138" i="1"/>
  <c r="Z138" i="1" s="1"/>
  <c r="Q138" i="1"/>
  <c r="P138" i="1"/>
  <c r="O138" i="1"/>
  <c r="N138" i="1"/>
  <c r="M138" i="1"/>
  <c r="L138" i="1"/>
  <c r="B138" i="1"/>
  <c r="W137" i="1"/>
  <c r="V137" i="1"/>
  <c r="U137" i="1"/>
  <c r="T137" i="1"/>
  <c r="Z137" i="1" s="1"/>
  <c r="Q137" i="1"/>
  <c r="P137" i="1"/>
  <c r="O137" i="1"/>
  <c r="N137" i="1"/>
  <c r="M137" i="1"/>
  <c r="L137" i="1"/>
  <c r="B137" i="1"/>
  <c r="W136" i="1"/>
  <c r="V136" i="1"/>
  <c r="U136" i="1"/>
  <c r="T136" i="1"/>
  <c r="Z136" i="1" s="1"/>
  <c r="Q136" i="1"/>
  <c r="P136" i="1"/>
  <c r="O136" i="1"/>
  <c r="N136" i="1"/>
  <c r="M136" i="1"/>
  <c r="L136" i="1"/>
  <c r="B136" i="1"/>
  <c r="W135" i="1"/>
  <c r="V135" i="1"/>
  <c r="U135" i="1"/>
  <c r="T135" i="1"/>
  <c r="Z135" i="1" s="1"/>
  <c r="Q135" i="1"/>
  <c r="P135" i="1"/>
  <c r="O135" i="1"/>
  <c r="N135" i="1"/>
  <c r="M135" i="1"/>
  <c r="L135" i="1"/>
  <c r="B135" i="1"/>
  <c r="W134" i="1"/>
  <c r="V134" i="1"/>
  <c r="U134" i="1"/>
  <c r="T134" i="1"/>
  <c r="Z134" i="1" s="1"/>
  <c r="Q134" i="1"/>
  <c r="P134" i="1"/>
  <c r="O134" i="1"/>
  <c r="N134" i="1"/>
  <c r="M134" i="1"/>
  <c r="L134" i="1"/>
  <c r="B134" i="1"/>
  <c r="W133" i="1"/>
  <c r="V133" i="1"/>
  <c r="U133" i="1"/>
  <c r="T133" i="1"/>
  <c r="Z133" i="1" s="1"/>
  <c r="Q133" i="1"/>
  <c r="P133" i="1"/>
  <c r="O133" i="1"/>
  <c r="N133" i="1"/>
  <c r="M133" i="1"/>
  <c r="L133" i="1"/>
  <c r="B133" i="1"/>
  <c r="W132" i="1"/>
  <c r="V132" i="1"/>
  <c r="U132" i="1"/>
  <c r="T132" i="1"/>
  <c r="Z132" i="1" s="1"/>
  <c r="Q132" i="1"/>
  <c r="P132" i="1"/>
  <c r="O132" i="1"/>
  <c r="N132" i="1"/>
  <c r="M132" i="1"/>
  <c r="L132" i="1"/>
  <c r="B132" i="1"/>
  <c r="W131" i="1"/>
  <c r="V131" i="1"/>
  <c r="U131" i="1"/>
  <c r="T131" i="1"/>
  <c r="Z131" i="1" s="1"/>
  <c r="Q131" i="1"/>
  <c r="P131" i="1"/>
  <c r="O131" i="1"/>
  <c r="N131" i="1"/>
  <c r="M131" i="1"/>
  <c r="L131" i="1"/>
  <c r="B131" i="1"/>
  <c r="W130" i="1"/>
  <c r="V130" i="1"/>
  <c r="U130" i="1"/>
  <c r="T130" i="1"/>
  <c r="Z130" i="1" s="1"/>
  <c r="Q130" i="1"/>
  <c r="P130" i="1"/>
  <c r="O130" i="1"/>
  <c r="N130" i="1"/>
  <c r="M130" i="1"/>
  <c r="L130" i="1"/>
  <c r="B130" i="1"/>
  <c r="W129" i="1"/>
  <c r="V129" i="1"/>
  <c r="U129" i="1"/>
  <c r="T129" i="1"/>
  <c r="Z129" i="1" s="1"/>
  <c r="Q129" i="1"/>
  <c r="P129" i="1"/>
  <c r="O129" i="1"/>
  <c r="N129" i="1"/>
  <c r="M129" i="1"/>
  <c r="L129" i="1"/>
  <c r="B129" i="1"/>
  <c r="W128" i="1"/>
  <c r="V128" i="1"/>
  <c r="U128" i="1"/>
  <c r="T128" i="1"/>
  <c r="Z128" i="1" s="1"/>
  <c r="Q128" i="1"/>
  <c r="P128" i="1"/>
  <c r="O128" i="1"/>
  <c r="N128" i="1"/>
  <c r="M128" i="1"/>
  <c r="L128" i="1"/>
  <c r="B128" i="1"/>
  <c r="W127" i="1"/>
  <c r="V127" i="1"/>
  <c r="U127" i="1"/>
  <c r="T127" i="1"/>
  <c r="Z127" i="1" s="1"/>
  <c r="Q127" i="1"/>
  <c r="P127" i="1"/>
  <c r="O127" i="1"/>
  <c r="N127" i="1"/>
  <c r="M127" i="1"/>
  <c r="L127" i="1"/>
  <c r="B127" i="1"/>
  <c r="W126" i="1"/>
  <c r="V126" i="1"/>
  <c r="U126" i="1"/>
  <c r="T126" i="1"/>
  <c r="Z126" i="1" s="1"/>
  <c r="Q126" i="1"/>
  <c r="P126" i="1"/>
  <c r="O126" i="1"/>
  <c r="N126" i="1"/>
  <c r="M126" i="1"/>
  <c r="L126" i="1"/>
  <c r="B126" i="1"/>
  <c r="W125" i="1"/>
  <c r="V125" i="1"/>
  <c r="U125" i="1"/>
  <c r="T125" i="1"/>
  <c r="Z125" i="1" s="1"/>
  <c r="Q125" i="1"/>
  <c r="P125" i="1"/>
  <c r="O125" i="1"/>
  <c r="N125" i="1"/>
  <c r="M125" i="1"/>
  <c r="L125" i="1"/>
  <c r="B125" i="1"/>
  <c r="W124" i="1"/>
  <c r="V124" i="1"/>
  <c r="U124" i="1"/>
  <c r="T124" i="1"/>
  <c r="Z124" i="1" s="1"/>
  <c r="Q124" i="1"/>
  <c r="P124" i="1"/>
  <c r="O124" i="1"/>
  <c r="N124" i="1"/>
  <c r="M124" i="1"/>
  <c r="L124" i="1"/>
  <c r="B124" i="1"/>
  <c r="W123" i="1"/>
  <c r="V123" i="1"/>
  <c r="U123" i="1"/>
  <c r="T123" i="1"/>
  <c r="Z123" i="1" s="1"/>
  <c r="Q123" i="1"/>
  <c r="P123" i="1"/>
  <c r="O123" i="1"/>
  <c r="N123" i="1"/>
  <c r="M123" i="1"/>
  <c r="L123" i="1"/>
  <c r="B123" i="1"/>
  <c r="W122" i="1"/>
  <c r="V122" i="1"/>
  <c r="U122" i="1"/>
  <c r="T122" i="1"/>
  <c r="Z122" i="1" s="1"/>
  <c r="Q122" i="1"/>
  <c r="P122" i="1"/>
  <c r="O122" i="1"/>
  <c r="N122" i="1"/>
  <c r="M122" i="1"/>
  <c r="L122" i="1"/>
  <c r="B122" i="1"/>
  <c r="W121" i="1"/>
  <c r="V121" i="1"/>
  <c r="U121" i="1"/>
  <c r="T121" i="1"/>
  <c r="Z121" i="1" s="1"/>
  <c r="Q121" i="1"/>
  <c r="P121" i="1"/>
  <c r="O121" i="1"/>
  <c r="N121" i="1"/>
  <c r="M121" i="1"/>
  <c r="L121" i="1"/>
  <c r="B121" i="1"/>
  <c r="W120" i="1"/>
  <c r="V120" i="1"/>
  <c r="U120" i="1"/>
  <c r="T120" i="1"/>
  <c r="Z120" i="1" s="1"/>
  <c r="Q120" i="1"/>
  <c r="P120" i="1"/>
  <c r="O120" i="1"/>
  <c r="N120" i="1"/>
  <c r="M120" i="1"/>
  <c r="L120" i="1"/>
  <c r="B120" i="1"/>
  <c r="W119" i="1"/>
  <c r="V119" i="1"/>
  <c r="U119" i="1"/>
  <c r="T119" i="1"/>
  <c r="Z119" i="1" s="1"/>
  <c r="Q119" i="1"/>
  <c r="P119" i="1"/>
  <c r="O119" i="1"/>
  <c r="N119" i="1"/>
  <c r="M119" i="1"/>
  <c r="L119" i="1"/>
  <c r="B119" i="1"/>
  <c r="W118" i="1"/>
  <c r="V118" i="1"/>
  <c r="U118" i="1"/>
  <c r="T118" i="1"/>
  <c r="Z118" i="1" s="1"/>
  <c r="Q118" i="1"/>
  <c r="P118" i="1"/>
  <c r="O118" i="1"/>
  <c r="N118" i="1"/>
  <c r="M118" i="1"/>
  <c r="L118" i="1"/>
  <c r="B118" i="1"/>
  <c r="W117" i="1"/>
  <c r="V117" i="1"/>
  <c r="U117" i="1"/>
  <c r="T117" i="1"/>
  <c r="Z117" i="1" s="1"/>
  <c r="Q117" i="1"/>
  <c r="P117" i="1"/>
  <c r="O117" i="1"/>
  <c r="N117" i="1"/>
  <c r="M117" i="1"/>
  <c r="L117" i="1"/>
  <c r="B117" i="1"/>
  <c r="W116" i="1"/>
  <c r="V116" i="1"/>
  <c r="U116" i="1"/>
  <c r="T116" i="1"/>
  <c r="Z116" i="1" s="1"/>
  <c r="Q116" i="1"/>
  <c r="P116" i="1"/>
  <c r="O116" i="1"/>
  <c r="N116" i="1"/>
  <c r="M116" i="1"/>
  <c r="L116" i="1"/>
  <c r="B116" i="1"/>
  <c r="W115" i="1"/>
  <c r="V115" i="1"/>
  <c r="U115" i="1"/>
  <c r="T115" i="1"/>
  <c r="Z115" i="1" s="1"/>
  <c r="Q115" i="1"/>
  <c r="P115" i="1"/>
  <c r="O115" i="1"/>
  <c r="N115" i="1"/>
  <c r="M115" i="1"/>
  <c r="L115" i="1"/>
  <c r="B115" i="1"/>
  <c r="W114" i="1"/>
  <c r="V114" i="1"/>
  <c r="U114" i="1"/>
  <c r="T114" i="1"/>
  <c r="Z114" i="1" s="1"/>
  <c r="Q114" i="1"/>
  <c r="P114" i="1"/>
  <c r="O114" i="1"/>
  <c r="N114" i="1"/>
  <c r="M114" i="1"/>
  <c r="L114" i="1"/>
  <c r="B114" i="1"/>
  <c r="W113" i="1"/>
  <c r="V113" i="1"/>
  <c r="U113" i="1"/>
  <c r="T113" i="1"/>
  <c r="Z113" i="1" s="1"/>
  <c r="Q113" i="1"/>
  <c r="P113" i="1"/>
  <c r="O113" i="1"/>
  <c r="N113" i="1"/>
  <c r="M113" i="1"/>
  <c r="L113" i="1"/>
  <c r="B113" i="1"/>
  <c r="W112" i="1"/>
  <c r="V112" i="1"/>
  <c r="U112" i="1"/>
  <c r="T112" i="1"/>
  <c r="Z112" i="1" s="1"/>
  <c r="Q112" i="1"/>
  <c r="P112" i="1"/>
  <c r="O112" i="1"/>
  <c r="N112" i="1"/>
  <c r="M112" i="1"/>
  <c r="L112" i="1"/>
  <c r="B112" i="1"/>
  <c r="W111" i="1"/>
  <c r="V111" i="1"/>
  <c r="U111" i="1"/>
  <c r="T111" i="1"/>
  <c r="Z111" i="1" s="1"/>
  <c r="Q111" i="1"/>
  <c r="P111" i="1"/>
  <c r="O111" i="1"/>
  <c r="N111" i="1"/>
  <c r="M111" i="1"/>
  <c r="L111" i="1"/>
  <c r="B111" i="1"/>
  <c r="W110" i="1"/>
  <c r="V110" i="1"/>
  <c r="U110" i="1"/>
  <c r="T110" i="1"/>
  <c r="Z110" i="1" s="1"/>
  <c r="Q110" i="1"/>
  <c r="P110" i="1"/>
  <c r="O110" i="1"/>
  <c r="N110" i="1"/>
  <c r="M110" i="1"/>
  <c r="L110" i="1"/>
  <c r="B110" i="1"/>
  <c r="W109" i="1"/>
  <c r="V109" i="1"/>
  <c r="U109" i="1"/>
  <c r="T109" i="1"/>
  <c r="Z109" i="1" s="1"/>
  <c r="Q109" i="1"/>
  <c r="P109" i="1"/>
  <c r="O109" i="1"/>
  <c r="N109" i="1"/>
  <c r="M109" i="1"/>
  <c r="L109" i="1"/>
  <c r="B109" i="1"/>
  <c r="W108" i="1"/>
  <c r="V108" i="1"/>
  <c r="U108" i="1"/>
  <c r="T108" i="1"/>
  <c r="Z108" i="1" s="1"/>
  <c r="Q108" i="1"/>
  <c r="P108" i="1"/>
  <c r="O108" i="1"/>
  <c r="N108" i="1"/>
  <c r="M108" i="1"/>
  <c r="L108" i="1"/>
  <c r="B108" i="1"/>
  <c r="W107" i="1"/>
  <c r="V107" i="1"/>
  <c r="U107" i="1"/>
  <c r="T107" i="1"/>
  <c r="Z107" i="1" s="1"/>
  <c r="Q107" i="1"/>
  <c r="P107" i="1"/>
  <c r="O107" i="1"/>
  <c r="N107" i="1"/>
  <c r="M107" i="1"/>
  <c r="L107" i="1"/>
  <c r="B107" i="1"/>
  <c r="W106" i="1"/>
  <c r="V106" i="1"/>
  <c r="U106" i="1"/>
  <c r="T106" i="1"/>
  <c r="Z106" i="1" s="1"/>
  <c r="Q106" i="1"/>
  <c r="P106" i="1"/>
  <c r="O106" i="1"/>
  <c r="N106" i="1"/>
  <c r="M106" i="1"/>
  <c r="L106" i="1"/>
  <c r="B106" i="1"/>
  <c r="W105" i="1"/>
  <c r="V105" i="1"/>
  <c r="U105" i="1"/>
  <c r="T105" i="1"/>
  <c r="Z105" i="1" s="1"/>
  <c r="Q105" i="1"/>
  <c r="P105" i="1"/>
  <c r="O105" i="1"/>
  <c r="N105" i="1"/>
  <c r="M105" i="1"/>
  <c r="L105" i="1"/>
  <c r="B105" i="1"/>
  <c r="W104" i="1"/>
  <c r="V104" i="1"/>
  <c r="U104" i="1"/>
  <c r="T104" i="1"/>
  <c r="Z104" i="1" s="1"/>
  <c r="Q104" i="1"/>
  <c r="P104" i="1"/>
  <c r="O104" i="1"/>
  <c r="N104" i="1"/>
  <c r="M104" i="1"/>
  <c r="L104" i="1"/>
  <c r="B104" i="1"/>
  <c r="W103" i="1"/>
  <c r="V103" i="1"/>
  <c r="U103" i="1"/>
  <c r="T103" i="1"/>
  <c r="Z103" i="1" s="1"/>
  <c r="Q103" i="1"/>
  <c r="P103" i="1"/>
  <c r="O103" i="1"/>
  <c r="N103" i="1"/>
  <c r="M103" i="1"/>
  <c r="L103" i="1"/>
  <c r="B103" i="1"/>
  <c r="W102" i="1"/>
  <c r="V102" i="1"/>
  <c r="U102" i="1"/>
  <c r="T102" i="1"/>
  <c r="Z102" i="1" s="1"/>
  <c r="Q102" i="1"/>
  <c r="P102" i="1"/>
  <c r="O102" i="1"/>
  <c r="N102" i="1"/>
  <c r="M102" i="1"/>
  <c r="L102" i="1"/>
  <c r="B102" i="1"/>
  <c r="W101" i="1"/>
  <c r="V101" i="1"/>
  <c r="U101" i="1"/>
  <c r="T101" i="1"/>
  <c r="Z101" i="1" s="1"/>
  <c r="Q101" i="1"/>
  <c r="P101" i="1"/>
  <c r="O101" i="1"/>
  <c r="N101" i="1"/>
  <c r="M101" i="1"/>
  <c r="L101" i="1"/>
  <c r="B101" i="1"/>
  <c r="W100" i="1"/>
  <c r="V100" i="1"/>
  <c r="U100" i="1"/>
  <c r="T100" i="1"/>
  <c r="Z100" i="1" s="1"/>
  <c r="Q100" i="1"/>
  <c r="P100" i="1"/>
  <c r="O100" i="1"/>
  <c r="N100" i="1"/>
  <c r="M100" i="1"/>
  <c r="L100" i="1"/>
  <c r="B100" i="1"/>
  <c r="W99" i="1"/>
  <c r="V99" i="1"/>
  <c r="U99" i="1"/>
  <c r="T99" i="1"/>
  <c r="Z99" i="1" s="1"/>
  <c r="Q99" i="1"/>
  <c r="P99" i="1"/>
  <c r="O99" i="1"/>
  <c r="N99" i="1"/>
  <c r="M99" i="1"/>
  <c r="L99" i="1"/>
  <c r="B99" i="1"/>
  <c r="W98" i="1"/>
  <c r="V98" i="1"/>
  <c r="U98" i="1"/>
  <c r="T98" i="1"/>
  <c r="Z98" i="1" s="1"/>
  <c r="Q98" i="1"/>
  <c r="P98" i="1"/>
  <c r="O98" i="1"/>
  <c r="N98" i="1"/>
  <c r="M98" i="1"/>
  <c r="L98" i="1"/>
  <c r="B98" i="1"/>
  <c r="W97" i="1"/>
  <c r="V97" i="1"/>
  <c r="U97" i="1"/>
  <c r="T97" i="1"/>
  <c r="Z97" i="1" s="1"/>
  <c r="Q97" i="1"/>
  <c r="P97" i="1"/>
  <c r="O97" i="1"/>
  <c r="N97" i="1"/>
  <c r="M97" i="1"/>
  <c r="L97" i="1"/>
  <c r="B97" i="1"/>
  <c r="W96" i="1"/>
  <c r="V96" i="1"/>
  <c r="U96" i="1"/>
  <c r="T96" i="1"/>
  <c r="Z96" i="1" s="1"/>
  <c r="Q96" i="1"/>
  <c r="P96" i="1"/>
  <c r="O96" i="1"/>
  <c r="N96" i="1"/>
  <c r="M96" i="1"/>
  <c r="L96" i="1"/>
  <c r="B96" i="1"/>
  <c r="W95" i="1"/>
  <c r="V95" i="1"/>
  <c r="U95" i="1"/>
  <c r="T95" i="1"/>
  <c r="Z95" i="1" s="1"/>
  <c r="Q95" i="1"/>
  <c r="P95" i="1"/>
  <c r="O95" i="1"/>
  <c r="N95" i="1"/>
  <c r="M95" i="1"/>
  <c r="L95" i="1"/>
  <c r="B95" i="1"/>
  <c r="W94" i="1"/>
  <c r="V94" i="1"/>
  <c r="U94" i="1"/>
  <c r="T94" i="1"/>
  <c r="Z94" i="1" s="1"/>
  <c r="Q94" i="1"/>
  <c r="P94" i="1"/>
  <c r="O94" i="1"/>
  <c r="N94" i="1"/>
  <c r="M94" i="1"/>
  <c r="L94" i="1"/>
  <c r="B94" i="1"/>
  <c r="W93" i="1"/>
  <c r="V93" i="1"/>
  <c r="U93" i="1"/>
  <c r="T93" i="1"/>
  <c r="Z93" i="1" s="1"/>
  <c r="Q93" i="1"/>
  <c r="P93" i="1"/>
  <c r="O93" i="1"/>
  <c r="N93" i="1"/>
  <c r="M93" i="1"/>
  <c r="L93" i="1"/>
  <c r="B93" i="1"/>
  <c r="W92" i="1"/>
  <c r="V92" i="1"/>
  <c r="U92" i="1"/>
  <c r="T92" i="1"/>
  <c r="Z92" i="1" s="1"/>
  <c r="Q92" i="1"/>
  <c r="P92" i="1"/>
  <c r="O92" i="1"/>
  <c r="N92" i="1"/>
  <c r="M92" i="1"/>
  <c r="L92" i="1"/>
  <c r="B92" i="1"/>
  <c r="W91" i="1"/>
  <c r="V91" i="1"/>
  <c r="U91" i="1"/>
  <c r="T91" i="1"/>
  <c r="Z91" i="1" s="1"/>
  <c r="Q91" i="1"/>
  <c r="P91" i="1"/>
  <c r="O91" i="1"/>
  <c r="N91" i="1"/>
  <c r="M91" i="1"/>
  <c r="L91" i="1"/>
  <c r="B91" i="1"/>
  <c r="W90" i="1"/>
  <c r="V90" i="1"/>
  <c r="U90" i="1"/>
  <c r="T90" i="1"/>
  <c r="Z90" i="1" s="1"/>
  <c r="Q90" i="1"/>
  <c r="P90" i="1"/>
  <c r="O90" i="1"/>
  <c r="N90" i="1"/>
  <c r="M90" i="1"/>
  <c r="L90" i="1"/>
  <c r="B90" i="1"/>
  <c r="W89" i="1"/>
  <c r="V89" i="1"/>
  <c r="U89" i="1"/>
  <c r="T89" i="1"/>
  <c r="Z89" i="1" s="1"/>
  <c r="Q89" i="1"/>
  <c r="P89" i="1"/>
  <c r="O89" i="1"/>
  <c r="N89" i="1"/>
  <c r="M89" i="1"/>
  <c r="L89" i="1"/>
  <c r="B89" i="1"/>
  <c r="W88" i="1"/>
  <c r="V88" i="1"/>
  <c r="U88" i="1"/>
  <c r="T88" i="1"/>
  <c r="Z88" i="1" s="1"/>
  <c r="Q88" i="1"/>
  <c r="P88" i="1"/>
  <c r="O88" i="1"/>
  <c r="N88" i="1"/>
  <c r="M88" i="1"/>
  <c r="L88" i="1"/>
  <c r="B88" i="1"/>
  <c r="W87" i="1"/>
  <c r="V87" i="1"/>
  <c r="U87" i="1"/>
  <c r="T87" i="1"/>
  <c r="Z87" i="1" s="1"/>
  <c r="Q87" i="1"/>
  <c r="P87" i="1"/>
  <c r="O87" i="1"/>
  <c r="N87" i="1"/>
  <c r="M87" i="1"/>
  <c r="L87" i="1"/>
  <c r="B87" i="1"/>
  <c r="W86" i="1"/>
  <c r="V86" i="1"/>
  <c r="U86" i="1"/>
  <c r="T86" i="1"/>
  <c r="Z86" i="1" s="1"/>
  <c r="Q86" i="1"/>
  <c r="P86" i="1"/>
  <c r="O86" i="1"/>
  <c r="N86" i="1"/>
  <c r="M86" i="1"/>
  <c r="L86" i="1"/>
  <c r="B86" i="1"/>
  <c r="W85" i="1"/>
  <c r="V85" i="1"/>
  <c r="U85" i="1"/>
  <c r="T85" i="1"/>
  <c r="Z85" i="1" s="1"/>
  <c r="Q85" i="1"/>
  <c r="P85" i="1"/>
  <c r="O85" i="1"/>
  <c r="N85" i="1"/>
  <c r="M85" i="1"/>
  <c r="L85" i="1"/>
  <c r="B85" i="1"/>
  <c r="W84" i="1"/>
  <c r="V84" i="1"/>
  <c r="U84" i="1"/>
  <c r="T84" i="1"/>
  <c r="Z84" i="1" s="1"/>
  <c r="Q84" i="1"/>
  <c r="P84" i="1"/>
  <c r="O84" i="1"/>
  <c r="N84" i="1"/>
  <c r="M84" i="1"/>
  <c r="L84" i="1"/>
  <c r="B84" i="1"/>
  <c r="W83" i="1"/>
  <c r="V83" i="1"/>
  <c r="U83" i="1"/>
  <c r="T83" i="1"/>
  <c r="Z83" i="1" s="1"/>
  <c r="Q83" i="1"/>
  <c r="P83" i="1"/>
  <c r="O83" i="1"/>
  <c r="N83" i="1"/>
  <c r="M83" i="1"/>
  <c r="L83" i="1"/>
  <c r="B83" i="1"/>
  <c r="W82" i="1"/>
  <c r="V82" i="1"/>
  <c r="U82" i="1"/>
  <c r="T82" i="1"/>
  <c r="Z82" i="1" s="1"/>
  <c r="Q82" i="1"/>
  <c r="P82" i="1"/>
  <c r="O82" i="1"/>
  <c r="N82" i="1"/>
  <c r="M82" i="1"/>
  <c r="L82" i="1"/>
  <c r="B82" i="1"/>
  <c r="W81" i="1"/>
  <c r="V81" i="1"/>
  <c r="U81" i="1"/>
  <c r="T81" i="1"/>
  <c r="Z81" i="1" s="1"/>
  <c r="Q81" i="1"/>
  <c r="P81" i="1"/>
  <c r="O81" i="1"/>
  <c r="N81" i="1"/>
  <c r="M81" i="1"/>
  <c r="L81" i="1"/>
  <c r="B81" i="1"/>
  <c r="W80" i="1"/>
  <c r="V80" i="1"/>
  <c r="U80" i="1"/>
  <c r="T80" i="1"/>
  <c r="Z80" i="1" s="1"/>
  <c r="Q80" i="1"/>
  <c r="P80" i="1"/>
  <c r="O80" i="1"/>
  <c r="N80" i="1"/>
  <c r="M80" i="1"/>
  <c r="L80" i="1"/>
  <c r="B80" i="1"/>
  <c r="W79" i="1"/>
  <c r="V79" i="1"/>
  <c r="U79" i="1"/>
  <c r="T79" i="1"/>
  <c r="Z79" i="1" s="1"/>
  <c r="Q79" i="1"/>
  <c r="P79" i="1"/>
  <c r="O79" i="1"/>
  <c r="N79" i="1"/>
  <c r="M79" i="1"/>
  <c r="L79" i="1"/>
  <c r="B79" i="1"/>
  <c r="W78" i="1"/>
  <c r="V78" i="1"/>
  <c r="U78" i="1"/>
  <c r="T78" i="1"/>
  <c r="Z78" i="1" s="1"/>
  <c r="Q78" i="1"/>
  <c r="P78" i="1"/>
  <c r="O78" i="1"/>
  <c r="N78" i="1"/>
  <c r="M78" i="1"/>
  <c r="L78" i="1"/>
  <c r="B78" i="1"/>
  <c r="W77" i="1"/>
  <c r="V77" i="1"/>
  <c r="U77" i="1"/>
  <c r="T77" i="1"/>
  <c r="Z77" i="1" s="1"/>
  <c r="Q77" i="1"/>
  <c r="P77" i="1"/>
  <c r="O77" i="1"/>
  <c r="N77" i="1"/>
  <c r="M77" i="1"/>
  <c r="L77" i="1"/>
  <c r="B77" i="1"/>
  <c r="W76" i="1"/>
  <c r="V76" i="1"/>
  <c r="U76" i="1"/>
  <c r="T76" i="1"/>
  <c r="Z76" i="1" s="1"/>
  <c r="Q76" i="1"/>
  <c r="P76" i="1"/>
  <c r="O76" i="1"/>
  <c r="N76" i="1"/>
  <c r="M76" i="1"/>
  <c r="L76" i="1"/>
  <c r="B76" i="1"/>
  <c r="W75" i="1"/>
  <c r="V75" i="1"/>
  <c r="U75" i="1"/>
  <c r="T75" i="1"/>
  <c r="Z75" i="1" s="1"/>
  <c r="Q75" i="1"/>
  <c r="P75" i="1"/>
  <c r="O75" i="1"/>
  <c r="N75" i="1"/>
  <c r="M75" i="1"/>
  <c r="L75" i="1"/>
  <c r="B75" i="1"/>
  <c r="W74" i="1"/>
  <c r="V74" i="1"/>
  <c r="U74" i="1"/>
  <c r="T74" i="1"/>
  <c r="Z74" i="1" s="1"/>
  <c r="Q74" i="1"/>
  <c r="P74" i="1"/>
  <c r="O74" i="1"/>
  <c r="N74" i="1"/>
  <c r="M74" i="1"/>
  <c r="L74" i="1"/>
  <c r="B74" i="1"/>
  <c r="W73" i="1"/>
  <c r="V73" i="1"/>
  <c r="U73" i="1"/>
  <c r="T73" i="1"/>
  <c r="Z73" i="1" s="1"/>
  <c r="Q73" i="1"/>
  <c r="P73" i="1"/>
  <c r="O73" i="1"/>
  <c r="N73" i="1"/>
  <c r="M73" i="1"/>
  <c r="L73" i="1"/>
  <c r="B73" i="1"/>
  <c r="W72" i="1"/>
  <c r="V72" i="1"/>
  <c r="U72" i="1"/>
  <c r="T72" i="1"/>
  <c r="Z72" i="1" s="1"/>
  <c r="Q72" i="1"/>
  <c r="P72" i="1"/>
  <c r="O72" i="1"/>
  <c r="N72" i="1"/>
  <c r="M72" i="1"/>
  <c r="L72" i="1"/>
  <c r="B72" i="1"/>
  <c r="W71" i="1"/>
  <c r="V71" i="1"/>
  <c r="U71" i="1"/>
  <c r="T71" i="1"/>
  <c r="Z71" i="1" s="1"/>
  <c r="Q71" i="1"/>
  <c r="P71" i="1"/>
  <c r="O71" i="1"/>
  <c r="N71" i="1"/>
  <c r="M71" i="1"/>
  <c r="L71" i="1"/>
  <c r="B71" i="1"/>
  <c r="W70" i="1"/>
  <c r="V70" i="1"/>
  <c r="U70" i="1"/>
  <c r="T70" i="1"/>
  <c r="Z70" i="1" s="1"/>
  <c r="Q70" i="1"/>
  <c r="P70" i="1"/>
  <c r="O70" i="1"/>
  <c r="N70" i="1"/>
  <c r="M70" i="1"/>
  <c r="L70" i="1"/>
  <c r="B70" i="1"/>
  <c r="W69" i="1"/>
  <c r="V69" i="1"/>
  <c r="U69" i="1"/>
  <c r="T69" i="1"/>
  <c r="Z69" i="1" s="1"/>
  <c r="Q69" i="1"/>
  <c r="P69" i="1"/>
  <c r="O69" i="1"/>
  <c r="N69" i="1"/>
  <c r="M69" i="1"/>
  <c r="L69" i="1"/>
  <c r="B69" i="1"/>
  <c r="W68" i="1"/>
  <c r="V68" i="1"/>
  <c r="U68" i="1"/>
  <c r="T68" i="1"/>
  <c r="Z68" i="1" s="1"/>
  <c r="Q68" i="1"/>
  <c r="P68" i="1"/>
  <c r="O68" i="1"/>
  <c r="N68" i="1"/>
  <c r="M68" i="1"/>
  <c r="L68" i="1"/>
  <c r="B68" i="1"/>
  <c r="W67" i="1"/>
  <c r="V67" i="1"/>
  <c r="U67" i="1"/>
  <c r="T67" i="1"/>
  <c r="Z67" i="1" s="1"/>
  <c r="Q67" i="1"/>
  <c r="P67" i="1"/>
  <c r="O67" i="1"/>
  <c r="N67" i="1"/>
  <c r="M67" i="1"/>
  <c r="L67" i="1"/>
  <c r="B67" i="1"/>
  <c r="W66" i="1"/>
  <c r="V66" i="1"/>
  <c r="U66" i="1"/>
  <c r="T66" i="1"/>
  <c r="Z66" i="1" s="1"/>
  <c r="Q66" i="1"/>
  <c r="P66" i="1"/>
  <c r="O66" i="1"/>
  <c r="N66" i="1"/>
  <c r="M66" i="1"/>
  <c r="L66" i="1"/>
  <c r="B66" i="1"/>
  <c r="W65" i="1"/>
  <c r="V65" i="1"/>
  <c r="U65" i="1"/>
  <c r="T65" i="1"/>
  <c r="Z65" i="1" s="1"/>
  <c r="Q65" i="1"/>
  <c r="P65" i="1"/>
  <c r="O65" i="1"/>
  <c r="N65" i="1"/>
  <c r="M65" i="1"/>
  <c r="L65" i="1"/>
  <c r="B65" i="1"/>
  <c r="W64" i="1"/>
  <c r="V64" i="1"/>
  <c r="U64" i="1"/>
  <c r="T64" i="1"/>
  <c r="Z64" i="1" s="1"/>
  <c r="Q64" i="1"/>
  <c r="P64" i="1"/>
  <c r="O64" i="1"/>
  <c r="N64" i="1"/>
  <c r="M64" i="1"/>
  <c r="L64" i="1"/>
  <c r="B64" i="1"/>
  <c r="W63" i="1"/>
  <c r="V63" i="1"/>
  <c r="U63" i="1"/>
  <c r="T63" i="1"/>
  <c r="Z63" i="1" s="1"/>
  <c r="Q63" i="1"/>
  <c r="P63" i="1"/>
  <c r="O63" i="1"/>
  <c r="N63" i="1"/>
  <c r="M63" i="1"/>
  <c r="L63" i="1"/>
  <c r="B63" i="1"/>
  <c r="W62" i="1"/>
  <c r="V62" i="1"/>
  <c r="U62" i="1"/>
  <c r="T62" i="1"/>
  <c r="Z62" i="1" s="1"/>
  <c r="Q62" i="1"/>
  <c r="P62" i="1"/>
  <c r="O62" i="1"/>
  <c r="N62" i="1"/>
  <c r="M62" i="1"/>
  <c r="L62" i="1"/>
  <c r="B62" i="1"/>
  <c r="W61" i="1"/>
  <c r="V61" i="1"/>
  <c r="U61" i="1"/>
  <c r="T61" i="1"/>
  <c r="Z61" i="1" s="1"/>
  <c r="Q61" i="1"/>
  <c r="P61" i="1"/>
  <c r="O61" i="1"/>
  <c r="N61" i="1"/>
  <c r="M61" i="1"/>
  <c r="L61" i="1"/>
  <c r="B61" i="1"/>
  <c r="W60" i="1"/>
  <c r="V60" i="1"/>
  <c r="U60" i="1"/>
  <c r="T60" i="1"/>
  <c r="Z60" i="1" s="1"/>
  <c r="Q60" i="1"/>
  <c r="P60" i="1"/>
  <c r="O60" i="1"/>
  <c r="N60" i="1"/>
  <c r="M60" i="1"/>
  <c r="L60" i="1"/>
  <c r="B60" i="1"/>
  <c r="W59" i="1"/>
  <c r="V59" i="1"/>
  <c r="U59" i="1"/>
  <c r="T59" i="1"/>
  <c r="Z59" i="1" s="1"/>
  <c r="Q59" i="1"/>
  <c r="P59" i="1"/>
  <c r="O59" i="1"/>
  <c r="N59" i="1"/>
  <c r="M59" i="1"/>
  <c r="L59" i="1"/>
  <c r="B59" i="1"/>
  <c r="W58" i="1"/>
  <c r="V58" i="1"/>
  <c r="U58" i="1"/>
  <c r="T58" i="1"/>
  <c r="Z58" i="1" s="1"/>
  <c r="Q58" i="1"/>
  <c r="P58" i="1"/>
  <c r="O58" i="1"/>
  <c r="N58" i="1"/>
  <c r="M58" i="1"/>
  <c r="L58" i="1"/>
  <c r="B58" i="1"/>
  <c r="W57" i="1"/>
  <c r="V57" i="1"/>
  <c r="U57" i="1"/>
  <c r="T57" i="1"/>
  <c r="Z57" i="1" s="1"/>
  <c r="Q57" i="1"/>
  <c r="P57" i="1"/>
  <c r="O57" i="1"/>
  <c r="N57" i="1"/>
  <c r="M57" i="1"/>
  <c r="L57" i="1"/>
  <c r="B57" i="1"/>
  <c r="W56" i="1"/>
  <c r="V56" i="1"/>
  <c r="U56" i="1"/>
  <c r="T56" i="1"/>
  <c r="Z56" i="1" s="1"/>
  <c r="Q56" i="1"/>
  <c r="P56" i="1"/>
  <c r="O56" i="1"/>
  <c r="N56" i="1"/>
  <c r="M56" i="1"/>
  <c r="L56" i="1"/>
  <c r="B56" i="1"/>
  <c r="W55" i="1"/>
  <c r="V55" i="1"/>
  <c r="U55" i="1"/>
  <c r="T55" i="1"/>
  <c r="Z55" i="1" s="1"/>
  <c r="Q55" i="1"/>
  <c r="P55" i="1"/>
  <c r="O55" i="1"/>
  <c r="N55" i="1"/>
  <c r="M55" i="1"/>
  <c r="L55" i="1"/>
  <c r="B55" i="1"/>
  <c r="W54" i="1"/>
  <c r="V54" i="1"/>
  <c r="U54" i="1"/>
  <c r="T54" i="1"/>
  <c r="Z54" i="1" s="1"/>
  <c r="Q54" i="1"/>
  <c r="P54" i="1"/>
  <c r="O54" i="1"/>
  <c r="N54" i="1"/>
  <c r="M54" i="1"/>
  <c r="L54" i="1"/>
  <c r="B54" i="1"/>
  <c r="W53" i="1"/>
  <c r="V53" i="1"/>
  <c r="U53" i="1"/>
  <c r="T53" i="1"/>
  <c r="Z53" i="1" s="1"/>
  <c r="Q53" i="1"/>
  <c r="P53" i="1"/>
  <c r="O53" i="1"/>
  <c r="N53" i="1"/>
  <c r="M53" i="1"/>
  <c r="L53" i="1"/>
  <c r="B53" i="1"/>
  <c r="W52" i="1"/>
  <c r="V52" i="1"/>
  <c r="U52" i="1"/>
  <c r="T52" i="1"/>
  <c r="Z52" i="1" s="1"/>
  <c r="Q52" i="1"/>
  <c r="P52" i="1"/>
  <c r="O52" i="1"/>
  <c r="N52" i="1"/>
  <c r="M52" i="1"/>
  <c r="L52" i="1"/>
  <c r="B52" i="1"/>
  <c r="W51" i="1"/>
  <c r="V51" i="1"/>
  <c r="U51" i="1"/>
  <c r="T51" i="1"/>
  <c r="Z51" i="1" s="1"/>
  <c r="Q51" i="1"/>
  <c r="P51" i="1"/>
  <c r="O51" i="1"/>
  <c r="N51" i="1"/>
  <c r="M51" i="1"/>
  <c r="L51" i="1"/>
  <c r="B51" i="1"/>
  <c r="W50" i="1"/>
  <c r="V50" i="1"/>
  <c r="U50" i="1"/>
  <c r="T50" i="1"/>
  <c r="Z50" i="1" s="1"/>
  <c r="Q50" i="1"/>
  <c r="P50" i="1"/>
  <c r="O50" i="1"/>
  <c r="N50" i="1"/>
  <c r="M50" i="1"/>
  <c r="L50" i="1"/>
  <c r="B50" i="1"/>
  <c r="W49" i="1"/>
  <c r="V49" i="1"/>
  <c r="U49" i="1"/>
  <c r="T49" i="1"/>
  <c r="Z49" i="1" s="1"/>
  <c r="Q49" i="1"/>
  <c r="P49" i="1"/>
  <c r="O49" i="1"/>
  <c r="N49" i="1"/>
  <c r="M49" i="1"/>
  <c r="L49" i="1"/>
  <c r="B49" i="1"/>
  <c r="W48" i="1"/>
  <c r="V48" i="1"/>
  <c r="U48" i="1"/>
  <c r="T48" i="1"/>
  <c r="Z48" i="1" s="1"/>
  <c r="Q48" i="1"/>
  <c r="P48" i="1"/>
  <c r="O48" i="1"/>
  <c r="N48" i="1"/>
  <c r="M48" i="1"/>
  <c r="L48" i="1"/>
  <c r="B48" i="1"/>
  <c r="W47" i="1"/>
  <c r="V47" i="1"/>
  <c r="U47" i="1"/>
  <c r="T47" i="1"/>
  <c r="Z47" i="1" s="1"/>
  <c r="Q47" i="1"/>
  <c r="P47" i="1"/>
  <c r="O47" i="1"/>
  <c r="N47" i="1"/>
  <c r="M47" i="1"/>
  <c r="L47" i="1"/>
  <c r="B47" i="1"/>
  <c r="W46" i="1"/>
  <c r="V46" i="1"/>
  <c r="U46" i="1"/>
  <c r="T46" i="1"/>
  <c r="Z46" i="1" s="1"/>
  <c r="Q46" i="1"/>
  <c r="P46" i="1"/>
  <c r="O46" i="1"/>
  <c r="N46" i="1"/>
  <c r="M46" i="1"/>
  <c r="L46" i="1"/>
  <c r="B46" i="1"/>
  <c r="W45" i="1"/>
  <c r="V45" i="1"/>
  <c r="U45" i="1"/>
  <c r="T45" i="1"/>
  <c r="Z45" i="1" s="1"/>
  <c r="Q45" i="1"/>
  <c r="P45" i="1"/>
  <c r="O45" i="1"/>
  <c r="N45" i="1"/>
  <c r="M45" i="1"/>
  <c r="L45" i="1"/>
  <c r="B45" i="1"/>
  <c r="W44" i="1"/>
  <c r="V44" i="1"/>
  <c r="U44" i="1"/>
  <c r="T44" i="1"/>
  <c r="Z44" i="1" s="1"/>
  <c r="Q44" i="1"/>
  <c r="P44" i="1"/>
  <c r="O44" i="1"/>
  <c r="N44" i="1"/>
  <c r="M44" i="1"/>
  <c r="L44" i="1"/>
  <c r="B44" i="1"/>
  <c r="W43" i="1"/>
  <c r="V43" i="1"/>
  <c r="U43" i="1"/>
  <c r="T43" i="1"/>
  <c r="Z43" i="1" s="1"/>
  <c r="Q43" i="1"/>
  <c r="P43" i="1"/>
  <c r="O43" i="1"/>
  <c r="N43" i="1"/>
  <c r="M43" i="1"/>
  <c r="L43" i="1"/>
  <c r="B43" i="1"/>
  <c r="W42" i="1"/>
  <c r="V42" i="1"/>
  <c r="U42" i="1"/>
  <c r="T42" i="1"/>
  <c r="Z42" i="1" s="1"/>
  <c r="Q42" i="1"/>
  <c r="P42" i="1"/>
  <c r="O42" i="1"/>
  <c r="N42" i="1"/>
  <c r="M42" i="1"/>
  <c r="L42" i="1"/>
  <c r="B42" i="1"/>
  <c r="W41" i="1"/>
  <c r="V41" i="1"/>
  <c r="U41" i="1"/>
  <c r="T41" i="1"/>
  <c r="Z41" i="1" s="1"/>
  <c r="Q41" i="1"/>
  <c r="P41" i="1"/>
  <c r="O41" i="1"/>
  <c r="N41" i="1"/>
  <c r="M41" i="1"/>
  <c r="L41" i="1"/>
  <c r="B41" i="1"/>
  <c r="W40" i="1"/>
  <c r="V40" i="1"/>
  <c r="U40" i="1"/>
  <c r="T40" i="1"/>
  <c r="Z40" i="1" s="1"/>
  <c r="Q40" i="1"/>
  <c r="P40" i="1"/>
  <c r="O40" i="1"/>
  <c r="N40" i="1"/>
  <c r="M40" i="1"/>
  <c r="L40" i="1"/>
  <c r="B40" i="1"/>
  <c r="W39" i="1"/>
  <c r="V39" i="1"/>
  <c r="U39" i="1"/>
  <c r="T39" i="1"/>
  <c r="Z39" i="1" s="1"/>
  <c r="Q39" i="1"/>
  <c r="P39" i="1"/>
  <c r="O39" i="1"/>
  <c r="N39" i="1"/>
  <c r="M39" i="1"/>
  <c r="L39" i="1"/>
  <c r="B39" i="1"/>
  <c r="W38" i="1"/>
  <c r="V38" i="1"/>
  <c r="U38" i="1"/>
  <c r="T38" i="1"/>
  <c r="Z38" i="1" s="1"/>
  <c r="Q38" i="1"/>
  <c r="P38" i="1"/>
  <c r="O38" i="1"/>
  <c r="N38" i="1"/>
  <c r="M38" i="1"/>
  <c r="L38" i="1"/>
  <c r="B38" i="1"/>
  <c r="W37" i="1"/>
  <c r="V37" i="1"/>
  <c r="U37" i="1"/>
  <c r="T37" i="1"/>
  <c r="Z37" i="1" s="1"/>
  <c r="Q37" i="1"/>
  <c r="P37" i="1"/>
  <c r="O37" i="1"/>
  <c r="N37" i="1"/>
  <c r="M37" i="1"/>
  <c r="L37" i="1"/>
  <c r="B37" i="1"/>
  <c r="W36" i="1"/>
  <c r="V36" i="1"/>
  <c r="U36" i="1"/>
  <c r="T36" i="1"/>
  <c r="Z36" i="1" s="1"/>
  <c r="Q36" i="1"/>
  <c r="P36" i="1"/>
  <c r="O36" i="1"/>
  <c r="N36" i="1"/>
  <c r="M36" i="1"/>
  <c r="L36" i="1"/>
  <c r="B36" i="1"/>
  <c r="W35" i="1"/>
  <c r="V35" i="1"/>
  <c r="U35" i="1"/>
  <c r="T35" i="1"/>
  <c r="Z35" i="1" s="1"/>
  <c r="Q35" i="1"/>
  <c r="P35" i="1"/>
  <c r="O35" i="1"/>
  <c r="N35" i="1"/>
  <c r="M35" i="1"/>
  <c r="L35" i="1"/>
  <c r="B35" i="1"/>
  <c r="W34" i="1"/>
  <c r="V34" i="1"/>
  <c r="U34" i="1"/>
  <c r="T34" i="1"/>
  <c r="Z34" i="1" s="1"/>
  <c r="Q34" i="1"/>
  <c r="P34" i="1"/>
  <c r="O34" i="1"/>
  <c r="N34" i="1"/>
  <c r="M34" i="1"/>
  <c r="L34" i="1"/>
  <c r="B34" i="1"/>
  <c r="W33" i="1"/>
  <c r="V33" i="1"/>
  <c r="U33" i="1"/>
  <c r="T33" i="1"/>
  <c r="Z33" i="1" s="1"/>
  <c r="Q33" i="1"/>
  <c r="P33" i="1"/>
  <c r="O33" i="1"/>
  <c r="N33" i="1"/>
  <c r="M33" i="1"/>
  <c r="L33" i="1"/>
  <c r="B33" i="1"/>
  <c r="W32" i="1"/>
  <c r="V32" i="1"/>
  <c r="U32" i="1"/>
  <c r="T32" i="1"/>
  <c r="Z32" i="1" s="1"/>
  <c r="Q32" i="1"/>
  <c r="P32" i="1"/>
  <c r="O32" i="1"/>
  <c r="N32" i="1"/>
  <c r="M32" i="1"/>
  <c r="L32" i="1"/>
  <c r="B32" i="1"/>
  <c r="W31" i="1"/>
  <c r="V31" i="1"/>
  <c r="U31" i="1"/>
  <c r="T31" i="1"/>
  <c r="Z31" i="1" s="1"/>
  <c r="Q31" i="1"/>
  <c r="P31" i="1"/>
  <c r="O31" i="1"/>
  <c r="N31" i="1"/>
  <c r="M31" i="1"/>
  <c r="L31" i="1"/>
  <c r="B31" i="1"/>
  <c r="W30" i="1"/>
  <c r="V30" i="1"/>
  <c r="U30" i="1"/>
  <c r="T30" i="1"/>
  <c r="Z30" i="1" s="1"/>
  <c r="Q30" i="1"/>
  <c r="P30" i="1"/>
  <c r="O30" i="1"/>
  <c r="N30" i="1"/>
  <c r="M30" i="1"/>
  <c r="L30" i="1"/>
  <c r="B30" i="1"/>
  <c r="W29" i="1"/>
  <c r="V29" i="1"/>
  <c r="U29" i="1"/>
  <c r="T29" i="1"/>
  <c r="Z29" i="1" s="1"/>
  <c r="Q29" i="1"/>
  <c r="P29" i="1"/>
  <c r="O29" i="1"/>
  <c r="N29" i="1"/>
  <c r="M29" i="1"/>
  <c r="L29" i="1"/>
  <c r="B29" i="1"/>
  <c r="W28" i="1"/>
  <c r="V28" i="1"/>
  <c r="U28" i="1"/>
  <c r="T28" i="1"/>
  <c r="Z28" i="1" s="1"/>
  <c r="Q28" i="1"/>
  <c r="P28" i="1"/>
  <c r="O28" i="1"/>
  <c r="N28" i="1"/>
  <c r="M28" i="1"/>
  <c r="L28" i="1"/>
  <c r="B28" i="1"/>
  <c r="W27" i="1"/>
  <c r="V27" i="1"/>
  <c r="U27" i="1"/>
  <c r="T27" i="1"/>
  <c r="Z27" i="1" s="1"/>
  <c r="Q27" i="1"/>
  <c r="P27" i="1"/>
  <c r="O27" i="1"/>
  <c r="N27" i="1"/>
  <c r="M27" i="1"/>
  <c r="L27" i="1"/>
  <c r="B27" i="1"/>
  <c r="W26" i="1"/>
  <c r="V26" i="1"/>
  <c r="U26" i="1"/>
  <c r="T26" i="1"/>
  <c r="Z26" i="1" s="1"/>
  <c r="Q26" i="1"/>
  <c r="P26" i="1"/>
  <c r="O26" i="1"/>
  <c r="N26" i="1"/>
  <c r="M26" i="1"/>
  <c r="L26" i="1"/>
  <c r="B26" i="1"/>
  <c r="W25" i="1"/>
  <c r="V25" i="1"/>
  <c r="U25" i="1"/>
  <c r="T25" i="1"/>
  <c r="Z25" i="1" s="1"/>
  <c r="Q25" i="1"/>
  <c r="P25" i="1"/>
  <c r="O25" i="1"/>
  <c r="N25" i="1"/>
  <c r="M25" i="1"/>
  <c r="L25" i="1"/>
  <c r="B25" i="1"/>
  <c r="W24" i="1"/>
  <c r="V24" i="1"/>
  <c r="U24" i="1"/>
  <c r="T24" i="1"/>
  <c r="Z24" i="1" s="1"/>
  <c r="Q24" i="1"/>
  <c r="P24" i="1"/>
  <c r="O24" i="1"/>
  <c r="N24" i="1"/>
  <c r="M24" i="1"/>
  <c r="L24" i="1"/>
  <c r="B24" i="1"/>
  <c r="W23" i="1"/>
  <c r="V23" i="1"/>
  <c r="U23" i="1"/>
  <c r="T23" i="1"/>
  <c r="Z23" i="1" s="1"/>
  <c r="Q23" i="1"/>
  <c r="P23" i="1"/>
  <c r="O23" i="1"/>
  <c r="N23" i="1"/>
  <c r="M23" i="1"/>
  <c r="L23" i="1"/>
  <c r="B23" i="1"/>
  <c r="W22" i="1"/>
  <c r="V22" i="1"/>
  <c r="U22" i="1"/>
  <c r="T22" i="1"/>
  <c r="Z22" i="1" s="1"/>
  <c r="Q22" i="1"/>
  <c r="P22" i="1"/>
  <c r="O22" i="1"/>
  <c r="N22" i="1"/>
  <c r="M22" i="1"/>
  <c r="L22" i="1"/>
  <c r="B22" i="1"/>
  <c r="W21" i="1"/>
  <c r="V21" i="1"/>
  <c r="U21" i="1"/>
  <c r="T21" i="1"/>
  <c r="Z21" i="1" s="1"/>
  <c r="Q21" i="1"/>
  <c r="P21" i="1"/>
  <c r="O21" i="1"/>
  <c r="N21" i="1"/>
  <c r="M21" i="1"/>
  <c r="L21" i="1"/>
  <c r="B21" i="1"/>
  <c r="W20" i="1"/>
  <c r="V20" i="1"/>
  <c r="U20" i="1"/>
  <c r="T20" i="1"/>
  <c r="Z20" i="1" s="1"/>
  <c r="Q20" i="1"/>
  <c r="P20" i="1"/>
  <c r="O20" i="1"/>
  <c r="N20" i="1"/>
  <c r="M20" i="1"/>
  <c r="L20" i="1"/>
  <c r="B20" i="1"/>
  <c r="W19" i="1"/>
  <c r="V19" i="1"/>
  <c r="U19" i="1"/>
  <c r="T19" i="1"/>
  <c r="Z19" i="1" s="1"/>
  <c r="Q19" i="1"/>
  <c r="P19" i="1"/>
  <c r="O19" i="1"/>
  <c r="N19" i="1"/>
  <c r="M19" i="1"/>
  <c r="L19" i="1"/>
  <c r="B19" i="1"/>
  <c r="V18" i="1"/>
  <c r="O18" i="1"/>
  <c r="N18" i="1"/>
  <c r="M18" i="1"/>
  <c r="L18" i="1"/>
  <c r="P18" i="1" s="1"/>
  <c r="B18" i="1"/>
  <c r="O17" i="1"/>
  <c r="N17" i="1"/>
  <c r="M17" i="1"/>
  <c r="L17" i="1"/>
  <c r="P17" i="1" s="1"/>
  <c r="B17" i="1"/>
  <c r="O16" i="1"/>
  <c r="N16" i="1"/>
  <c r="M16" i="1"/>
  <c r="L16" i="1"/>
  <c r="P16" i="1" s="1"/>
  <c r="B16" i="1"/>
  <c r="O15" i="1"/>
  <c r="N15" i="1"/>
  <c r="M15" i="1"/>
  <c r="L15" i="1"/>
  <c r="P15" i="1" s="1"/>
  <c r="B15" i="1"/>
  <c r="O14" i="1"/>
  <c r="N14" i="1"/>
  <c r="M14" i="1"/>
  <c r="L14" i="1"/>
  <c r="P14" i="1" s="1"/>
  <c r="B14" i="1"/>
  <c r="O13" i="1"/>
  <c r="N13" i="1"/>
  <c r="M13" i="1"/>
  <c r="L13" i="1"/>
  <c r="P13" i="1" s="1"/>
  <c r="B13" i="1"/>
  <c r="O12" i="1"/>
  <c r="N12" i="1"/>
  <c r="M12" i="1"/>
  <c r="L12" i="1"/>
  <c r="P12" i="1" s="1"/>
  <c r="B12" i="1"/>
  <c r="O11" i="1"/>
  <c r="N11" i="1"/>
  <c r="M11" i="1"/>
  <c r="L11" i="1"/>
  <c r="P11" i="1" s="1"/>
  <c r="B11" i="1"/>
  <c r="O10" i="1"/>
  <c r="N10" i="1"/>
  <c r="M10" i="1"/>
  <c r="L10" i="1"/>
  <c r="P10" i="1" s="1"/>
  <c r="B10" i="1"/>
  <c r="Q7" i="1"/>
  <c r="B7" i="1"/>
  <c r="T10" i="1" l="1"/>
  <c r="Q10" i="1"/>
  <c r="T18" i="1"/>
  <c r="W18" i="1"/>
  <c r="G14" i="5" s="1"/>
  <c r="Q18" i="1"/>
  <c r="D14" i="5" s="1"/>
  <c r="T11" i="1"/>
  <c r="Q11" i="1"/>
  <c r="T15" i="1"/>
  <c r="Q15" i="1"/>
  <c r="V10" i="1"/>
  <c r="W10" i="1" s="1"/>
  <c r="T14" i="1"/>
  <c r="Q14" i="1"/>
  <c r="T12" i="1"/>
  <c r="Q12" i="1"/>
  <c r="T16" i="1"/>
  <c r="Q16" i="1"/>
  <c r="D10" i="5" s="1"/>
  <c r="C39" i="5"/>
  <c r="C45" i="5" s="1"/>
  <c r="D7" i="2"/>
  <c r="O19" i="2"/>
  <c r="U19" i="2" s="1"/>
  <c r="V13" i="1"/>
  <c r="W13" i="1" s="1"/>
  <c r="P19" i="2"/>
  <c r="W14" i="1"/>
  <c r="V12" i="1"/>
  <c r="W12" i="1" s="1"/>
  <c r="P15" i="2"/>
  <c r="T13" i="1"/>
  <c r="Q13" i="1"/>
  <c r="T17" i="1"/>
  <c r="Q17" i="1"/>
  <c r="O11" i="2"/>
  <c r="U11" i="2" s="1"/>
  <c r="V11" i="2" s="1"/>
  <c r="P11" i="2"/>
  <c r="W11" i="1"/>
  <c r="P16" i="2"/>
  <c r="D39" i="5"/>
  <c r="G39" i="5" s="1"/>
  <c r="F7" i="2"/>
  <c r="O386" i="2"/>
  <c r="U386" i="2" s="1"/>
  <c r="V386" i="2" s="1"/>
  <c r="N386" i="2"/>
  <c r="N411" i="2"/>
  <c r="O411" i="2"/>
  <c r="U411" i="2" s="1"/>
  <c r="V411" i="2" s="1"/>
  <c r="O714" i="2"/>
  <c r="U714" i="2" s="1"/>
  <c r="V714" i="2" s="1"/>
  <c r="N714" i="2"/>
  <c r="O842" i="2"/>
  <c r="U842" i="2" s="1"/>
  <c r="V842" i="2" s="1"/>
  <c r="N842" i="2"/>
  <c r="N12" i="2"/>
  <c r="V17" i="1" s="1"/>
  <c r="W17" i="1" s="1"/>
  <c r="G11" i="5" s="1"/>
  <c r="N16" i="2"/>
  <c r="V15" i="1" s="1"/>
  <c r="W15" i="1" s="1"/>
  <c r="N20" i="2"/>
  <c r="P20" i="2" s="1"/>
  <c r="N24" i="2"/>
  <c r="P24" i="2" s="1"/>
  <c r="N28" i="2"/>
  <c r="V16" i="1" s="1"/>
  <c r="W16" i="1" s="1"/>
  <c r="G10" i="5" s="1"/>
  <c r="N32" i="2"/>
  <c r="N36" i="2"/>
  <c r="N40" i="2"/>
  <c r="N44" i="2"/>
  <c r="N48" i="2"/>
  <c r="N52" i="2"/>
  <c r="N56" i="2"/>
  <c r="N60" i="2"/>
  <c r="N64" i="2"/>
  <c r="N68" i="2"/>
  <c r="N72" i="2"/>
  <c r="N76" i="2"/>
  <c r="N80" i="2"/>
  <c r="N84" i="2"/>
  <c r="N88" i="2"/>
  <c r="N92" i="2"/>
  <c r="N96" i="2"/>
  <c r="N100" i="2"/>
  <c r="N104" i="2"/>
  <c r="N108" i="2"/>
  <c r="N112" i="2"/>
  <c r="N116" i="2"/>
  <c r="N120" i="2"/>
  <c r="N124" i="2"/>
  <c r="N128" i="2"/>
  <c r="N132" i="2"/>
  <c r="N136" i="2"/>
  <c r="N140" i="2"/>
  <c r="N144" i="2"/>
  <c r="N148" i="2"/>
  <c r="O155" i="2"/>
  <c r="U155" i="2" s="1"/>
  <c r="V155" i="2" s="1"/>
  <c r="N160" i="2"/>
  <c r="N165" i="2"/>
  <c r="O171" i="2"/>
  <c r="U171" i="2" s="1"/>
  <c r="V171" i="2" s="1"/>
  <c r="N176" i="2"/>
  <c r="N181" i="2"/>
  <c r="O200" i="2"/>
  <c r="U200" i="2" s="1"/>
  <c r="V200" i="2" s="1"/>
  <c r="N200" i="2"/>
  <c r="O204" i="2"/>
  <c r="U204" i="2" s="1"/>
  <c r="V204" i="2" s="1"/>
  <c r="N204" i="2"/>
  <c r="O208" i="2"/>
  <c r="U208" i="2" s="1"/>
  <c r="V208" i="2" s="1"/>
  <c r="N208" i="2"/>
  <c r="O212" i="2"/>
  <c r="U212" i="2" s="1"/>
  <c r="V212" i="2" s="1"/>
  <c r="N212" i="2"/>
  <c r="O216" i="2"/>
  <c r="U216" i="2" s="1"/>
  <c r="V216" i="2" s="1"/>
  <c r="N216" i="2"/>
  <c r="O220" i="2"/>
  <c r="U220" i="2" s="1"/>
  <c r="V220" i="2" s="1"/>
  <c r="N220" i="2"/>
  <c r="O224" i="2"/>
  <c r="U224" i="2" s="1"/>
  <c r="V224" i="2" s="1"/>
  <c r="N224" i="2"/>
  <c r="O228" i="2"/>
  <c r="U228" i="2" s="1"/>
  <c r="V228" i="2" s="1"/>
  <c r="N228" i="2"/>
  <c r="O232" i="2"/>
  <c r="U232" i="2" s="1"/>
  <c r="V232" i="2" s="1"/>
  <c r="N232" i="2"/>
  <c r="O236" i="2"/>
  <c r="U236" i="2" s="1"/>
  <c r="V236" i="2" s="1"/>
  <c r="N236" i="2"/>
  <c r="O240" i="2"/>
  <c r="U240" i="2" s="1"/>
  <c r="V240" i="2" s="1"/>
  <c r="N240" i="2"/>
  <c r="O244" i="2"/>
  <c r="U244" i="2" s="1"/>
  <c r="V244" i="2" s="1"/>
  <c r="N244" i="2"/>
  <c r="O248" i="2"/>
  <c r="U248" i="2" s="1"/>
  <c r="V248" i="2" s="1"/>
  <c r="N248" i="2"/>
  <c r="O252" i="2"/>
  <c r="U252" i="2" s="1"/>
  <c r="V252" i="2" s="1"/>
  <c r="N252" i="2"/>
  <c r="O256" i="2"/>
  <c r="U256" i="2" s="1"/>
  <c r="V256" i="2" s="1"/>
  <c r="N256" i="2"/>
  <c r="O260" i="2"/>
  <c r="U260" i="2" s="1"/>
  <c r="V260" i="2" s="1"/>
  <c r="N260" i="2"/>
  <c r="O264" i="2"/>
  <c r="U264" i="2" s="1"/>
  <c r="V264" i="2" s="1"/>
  <c r="N264" i="2"/>
  <c r="O268" i="2"/>
  <c r="U268" i="2" s="1"/>
  <c r="V268" i="2" s="1"/>
  <c r="N268" i="2"/>
  <c r="O272" i="2"/>
  <c r="U272" i="2" s="1"/>
  <c r="V272" i="2" s="1"/>
  <c r="N272" i="2"/>
  <c r="O276" i="2"/>
  <c r="U276" i="2" s="1"/>
  <c r="V276" i="2" s="1"/>
  <c r="N276" i="2"/>
  <c r="O280" i="2"/>
  <c r="U280" i="2" s="1"/>
  <c r="V280" i="2" s="1"/>
  <c r="N280" i="2"/>
  <c r="O284" i="2"/>
  <c r="U284" i="2" s="1"/>
  <c r="V284" i="2" s="1"/>
  <c r="N284" i="2"/>
  <c r="O288" i="2"/>
  <c r="U288" i="2" s="1"/>
  <c r="V288" i="2" s="1"/>
  <c r="N288" i="2"/>
  <c r="O292" i="2"/>
  <c r="U292" i="2" s="1"/>
  <c r="V292" i="2" s="1"/>
  <c r="N292" i="2"/>
  <c r="O296" i="2"/>
  <c r="U296" i="2" s="1"/>
  <c r="V296" i="2" s="1"/>
  <c r="N296" i="2"/>
  <c r="O300" i="2"/>
  <c r="U300" i="2" s="1"/>
  <c r="V300" i="2" s="1"/>
  <c r="N300" i="2"/>
  <c r="O304" i="2"/>
  <c r="U304" i="2" s="1"/>
  <c r="V304" i="2" s="1"/>
  <c r="N304" i="2"/>
  <c r="O308" i="2"/>
  <c r="U308" i="2" s="1"/>
  <c r="V308" i="2" s="1"/>
  <c r="N308" i="2"/>
  <c r="O312" i="2"/>
  <c r="U312" i="2" s="1"/>
  <c r="V312" i="2" s="1"/>
  <c r="N312" i="2"/>
  <c r="O316" i="2"/>
  <c r="U316" i="2" s="1"/>
  <c r="V316" i="2" s="1"/>
  <c r="N316" i="2"/>
  <c r="O320" i="2"/>
  <c r="U320" i="2" s="1"/>
  <c r="V320" i="2" s="1"/>
  <c r="N320" i="2"/>
  <c r="O324" i="2"/>
  <c r="U324" i="2" s="1"/>
  <c r="V324" i="2" s="1"/>
  <c r="N324" i="2"/>
  <c r="O328" i="2"/>
  <c r="U328" i="2" s="1"/>
  <c r="V328" i="2" s="1"/>
  <c r="N328" i="2"/>
  <c r="O332" i="2"/>
  <c r="U332" i="2" s="1"/>
  <c r="V332" i="2" s="1"/>
  <c r="N332" i="2"/>
  <c r="O336" i="2"/>
  <c r="U336" i="2" s="1"/>
  <c r="V336" i="2" s="1"/>
  <c r="N336" i="2"/>
  <c r="O340" i="2"/>
  <c r="U340" i="2" s="1"/>
  <c r="V340" i="2" s="1"/>
  <c r="N340" i="2"/>
  <c r="O344" i="2"/>
  <c r="U344" i="2" s="1"/>
  <c r="V344" i="2" s="1"/>
  <c r="N344" i="2"/>
  <c r="O348" i="2"/>
  <c r="U348" i="2" s="1"/>
  <c r="V348" i="2" s="1"/>
  <c r="N348" i="2"/>
  <c r="O352" i="2"/>
  <c r="U352" i="2" s="1"/>
  <c r="V352" i="2" s="1"/>
  <c r="N352" i="2"/>
  <c r="O356" i="2"/>
  <c r="U356" i="2" s="1"/>
  <c r="V356" i="2" s="1"/>
  <c r="N356" i="2"/>
  <c r="O360" i="2"/>
  <c r="U360" i="2" s="1"/>
  <c r="V360" i="2" s="1"/>
  <c r="N360" i="2"/>
  <c r="O364" i="2"/>
  <c r="U364" i="2" s="1"/>
  <c r="V364" i="2" s="1"/>
  <c r="N364" i="2"/>
  <c r="O368" i="2"/>
  <c r="U368" i="2" s="1"/>
  <c r="V368" i="2" s="1"/>
  <c r="N368" i="2"/>
  <c r="O372" i="2"/>
  <c r="U372" i="2" s="1"/>
  <c r="V372" i="2" s="1"/>
  <c r="N372" i="2"/>
  <c r="O376" i="2"/>
  <c r="U376" i="2" s="1"/>
  <c r="V376" i="2" s="1"/>
  <c r="N376" i="2"/>
  <c r="O746" i="2"/>
  <c r="U746" i="2" s="1"/>
  <c r="V746" i="2" s="1"/>
  <c r="N746" i="2"/>
  <c r="O874" i="2"/>
  <c r="U874" i="2" s="1"/>
  <c r="V874" i="2" s="1"/>
  <c r="N874" i="2"/>
  <c r="N381" i="2"/>
  <c r="O381" i="2"/>
  <c r="U381" i="2" s="1"/>
  <c r="V381" i="2" s="1"/>
  <c r="N395" i="2"/>
  <c r="O395" i="2"/>
  <c r="U395" i="2" s="1"/>
  <c r="V395" i="2" s="1"/>
  <c r="N427" i="2"/>
  <c r="O427" i="2"/>
  <c r="U427" i="2" s="1"/>
  <c r="V427" i="2" s="1"/>
  <c r="O187" i="2"/>
  <c r="U187" i="2" s="1"/>
  <c r="V187" i="2" s="1"/>
  <c r="N187" i="2"/>
  <c r="O191" i="2"/>
  <c r="U191" i="2" s="1"/>
  <c r="V191" i="2" s="1"/>
  <c r="N191" i="2"/>
  <c r="O195" i="2"/>
  <c r="U195" i="2" s="1"/>
  <c r="V195" i="2" s="1"/>
  <c r="N195" i="2"/>
  <c r="N389" i="2"/>
  <c r="O389" i="2"/>
  <c r="U389" i="2" s="1"/>
  <c r="V389" i="2" s="1"/>
  <c r="N405" i="2"/>
  <c r="O405" i="2"/>
  <c r="U405" i="2" s="1"/>
  <c r="V405" i="2" s="1"/>
  <c r="N421" i="2"/>
  <c r="O421" i="2"/>
  <c r="U421" i="2" s="1"/>
  <c r="V421" i="2" s="1"/>
  <c r="N437" i="2"/>
  <c r="O437" i="2"/>
  <c r="U437" i="2" s="1"/>
  <c r="V437" i="2" s="1"/>
  <c r="O778" i="2"/>
  <c r="U778" i="2" s="1"/>
  <c r="V778" i="2" s="1"/>
  <c r="N778" i="2"/>
  <c r="O810" i="2"/>
  <c r="U810" i="2" s="1"/>
  <c r="V810" i="2" s="1"/>
  <c r="N810" i="2"/>
  <c r="O722" i="2"/>
  <c r="U722" i="2" s="1"/>
  <c r="V722" i="2" s="1"/>
  <c r="N722" i="2"/>
  <c r="O754" i="2"/>
  <c r="U754" i="2" s="1"/>
  <c r="V754" i="2" s="1"/>
  <c r="N754" i="2"/>
  <c r="O786" i="2"/>
  <c r="U786" i="2" s="1"/>
  <c r="V786" i="2" s="1"/>
  <c r="N786" i="2"/>
  <c r="O818" i="2"/>
  <c r="U818" i="2" s="1"/>
  <c r="V818" i="2" s="1"/>
  <c r="N818" i="2"/>
  <c r="O850" i="2"/>
  <c r="U850" i="2" s="1"/>
  <c r="V850" i="2" s="1"/>
  <c r="N850" i="2"/>
  <c r="O882" i="2"/>
  <c r="U882" i="2" s="1"/>
  <c r="V882" i="2" s="1"/>
  <c r="N882" i="2"/>
  <c r="N199" i="2"/>
  <c r="N203" i="2"/>
  <c r="N207" i="2"/>
  <c r="N211" i="2"/>
  <c r="N215" i="2"/>
  <c r="N219" i="2"/>
  <c r="N223" i="2"/>
  <c r="N227" i="2"/>
  <c r="N231" i="2"/>
  <c r="N235" i="2"/>
  <c r="N239" i="2"/>
  <c r="N243" i="2"/>
  <c r="N247" i="2"/>
  <c r="N251" i="2"/>
  <c r="N255" i="2"/>
  <c r="N259" i="2"/>
  <c r="N263" i="2"/>
  <c r="N267" i="2"/>
  <c r="N271" i="2"/>
  <c r="N275" i="2"/>
  <c r="N279" i="2"/>
  <c r="N283" i="2"/>
  <c r="N287" i="2"/>
  <c r="N291" i="2"/>
  <c r="N295" i="2"/>
  <c r="N299" i="2"/>
  <c r="N303" i="2"/>
  <c r="N307" i="2"/>
  <c r="N311" i="2"/>
  <c r="N315" i="2"/>
  <c r="N319" i="2"/>
  <c r="N323" i="2"/>
  <c r="N327" i="2"/>
  <c r="N331" i="2"/>
  <c r="N335" i="2"/>
  <c r="N339" i="2"/>
  <c r="N343" i="2"/>
  <c r="N347" i="2"/>
  <c r="N351" i="2"/>
  <c r="N355" i="2"/>
  <c r="N359" i="2"/>
  <c r="N363" i="2"/>
  <c r="N367" i="2"/>
  <c r="N371" i="2"/>
  <c r="N375" i="2"/>
  <c r="N382" i="2"/>
  <c r="N387" i="2"/>
  <c r="O391" i="2"/>
  <c r="U391" i="2" s="1"/>
  <c r="V391" i="2" s="1"/>
  <c r="O401" i="2"/>
  <c r="U401" i="2" s="1"/>
  <c r="V401" i="2" s="1"/>
  <c r="O407" i="2"/>
  <c r="U407" i="2" s="1"/>
  <c r="V407" i="2" s="1"/>
  <c r="O417" i="2"/>
  <c r="U417" i="2" s="1"/>
  <c r="V417" i="2" s="1"/>
  <c r="O423" i="2"/>
  <c r="U423" i="2" s="1"/>
  <c r="V423" i="2" s="1"/>
  <c r="O433" i="2"/>
  <c r="U433" i="2" s="1"/>
  <c r="V433" i="2" s="1"/>
  <c r="O439" i="2"/>
  <c r="U439" i="2" s="1"/>
  <c r="V439" i="2" s="1"/>
  <c r="O441" i="2"/>
  <c r="U441" i="2" s="1"/>
  <c r="V441" i="2" s="1"/>
  <c r="N441" i="2"/>
  <c r="O445" i="2"/>
  <c r="U445" i="2" s="1"/>
  <c r="V445" i="2" s="1"/>
  <c r="N445" i="2"/>
  <c r="O449" i="2"/>
  <c r="U449" i="2" s="1"/>
  <c r="V449" i="2" s="1"/>
  <c r="N449" i="2"/>
  <c r="O453" i="2"/>
  <c r="U453" i="2" s="1"/>
  <c r="V453" i="2" s="1"/>
  <c r="N453" i="2"/>
  <c r="O457" i="2"/>
  <c r="U457" i="2" s="1"/>
  <c r="V457" i="2" s="1"/>
  <c r="N457" i="2"/>
  <c r="O461" i="2"/>
  <c r="U461" i="2" s="1"/>
  <c r="V461" i="2" s="1"/>
  <c r="N461" i="2"/>
  <c r="O465" i="2"/>
  <c r="U465" i="2" s="1"/>
  <c r="V465" i="2" s="1"/>
  <c r="N465" i="2"/>
  <c r="O469" i="2"/>
  <c r="U469" i="2" s="1"/>
  <c r="V469" i="2" s="1"/>
  <c r="N469" i="2"/>
  <c r="O473" i="2"/>
  <c r="U473" i="2" s="1"/>
  <c r="V473" i="2" s="1"/>
  <c r="N473" i="2"/>
  <c r="O477" i="2"/>
  <c r="U477" i="2" s="1"/>
  <c r="V477" i="2" s="1"/>
  <c r="N477" i="2"/>
  <c r="O481" i="2"/>
  <c r="U481" i="2" s="1"/>
  <c r="V481" i="2" s="1"/>
  <c r="N481" i="2"/>
  <c r="O485" i="2"/>
  <c r="U485" i="2" s="1"/>
  <c r="V485" i="2" s="1"/>
  <c r="N485" i="2"/>
  <c r="O489" i="2"/>
  <c r="U489" i="2" s="1"/>
  <c r="V489" i="2" s="1"/>
  <c r="N489" i="2"/>
  <c r="O493" i="2"/>
  <c r="U493" i="2" s="1"/>
  <c r="V493" i="2" s="1"/>
  <c r="N493" i="2"/>
  <c r="O497" i="2"/>
  <c r="U497" i="2" s="1"/>
  <c r="V497" i="2" s="1"/>
  <c r="N497" i="2"/>
  <c r="O501" i="2"/>
  <c r="U501" i="2" s="1"/>
  <c r="V501" i="2" s="1"/>
  <c r="N501" i="2"/>
  <c r="O505" i="2"/>
  <c r="U505" i="2" s="1"/>
  <c r="V505" i="2" s="1"/>
  <c r="N505" i="2"/>
  <c r="O509" i="2"/>
  <c r="U509" i="2" s="1"/>
  <c r="V509" i="2" s="1"/>
  <c r="N509" i="2"/>
  <c r="O513" i="2"/>
  <c r="U513" i="2" s="1"/>
  <c r="V513" i="2" s="1"/>
  <c r="N513" i="2"/>
  <c r="O517" i="2"/>
  <c r="U517" i="2" s="1"/>
  <c r="V517" i="2" s="1"/>
  <c r="N517" i="2"/>
  <c r="O521" i="2"/>
  <c r="U521" i="2" s="1"/>
  <c r="V521" i="2" s="1"/>
  <c r="N521" i="2"/>
  <c r="O525" i="2"/>
  <c r="U525" i="2" s="1"/>
  <c r="V525" i="2" s="1"/>
  <c r="N525" i="2"/>
  <c r="O529" i="2"/>
  <c r="U529" i="2" s="1"/>
  <c r="V529" i="2" s="1"/>
  <c r="N529" i="2"/>
  <c r="O533" i="2"/>
  <c r="U533" i="2" s="1"/>
  <c r="V533" i="2" s="1"/>
  <c r="N533" i="2"/>
  <c r="O537" i="2"/>
  <c r="U537" i="2" s="1"/>
  <c r="V537" i="2" s="1"/>
  <c r="N537" i="2"/>
  <c r="O541" i="2"/>
  <c r="U541" i="2" s="1"/>
  <c r="V541" i="2" s="1"/>
  <c r="N541" i="2"/>
  <c r="O545" i="2"/>
  <c r="U545" i="2" s="1"/>
  <c r="V545" i="2" s="1"/>
  <c r="N545" i="2"/>
  <c r="O549" i="2"/>
  <c r="U549" i="2" s="1"/>
  <c r="V549" i="2" s="1"/>
  <c r="N549" i="2"/>
  <c r="O553" i="2"/>
  <c r="U553" i="2" s="1"/>
  <c r="V553" i="2" s="1"/>
  <c r="N553" i="2"/>
  <c r="O557" i="2"/>
  <c r="U557" i="2" s="1"/>
  <c r="V557" i="2" s="1"/>
  <c r="N557" i="2"/>
  <c r="O561" i="2"/>
  <c r="U561" i="2" s="1"/>
  <c r="V561" i="2" s="1"/>
  <c r="N561" i="2"/>
  <c r="O565" i="2"/>
  <c r="U565" i="2" s="1"/>
  <c r="V565" i="2" s="1"/>
  <c r="N565" i="2"/>
  <c r="O569" i="2"/>
  <c r="U569" i="2" s="1"/>
  <c r="V569" i="2" s="1"/>
  <c r="N569" i="2"/>
  <c r="O573" i="2"/>
  <c r="U573" i="2" s="1"/>
  <c r="V573" i="2" s="1"/>
  <c r="N573" i="2"/>
  <c r="O577" i="2"/>
  <c r="U577" i="2" s="1"/>
  <c r="V577" i="2" s="1"/>
  <c r="N577" i="2"/>
  <c r="O581" i="2"/>
  <c r="U581" i="2" s="1"/>
  <c r="V581" i="2" s="1"/>
  <c r="N581" i="2"/>
  <c r="O585" i="2"/>
  <c r="U585" i="2" s="1"/>
  <c r="V585" i="2" s="1"/>
  <c r="N585" i="2"/>
  <c r="O589" i="2"/>
  <c r="U589" i="2" s="1"/>
  <c r="V589" i="2" s="1"/>
  <c r="N589" i="2"/>
  <c r="O593" i="2"/>
  <c r="U593" i="2" s="1"/>
  <c r="V593" i="2" s="1"/>
  <c r="N593" i="2"/>
  <c r="O597" i="2"/>
  <c r="U597" i="2" s="1"/>
  <c r="V597" i="2" s="1"/>
  <c r="N597" i="2"/>
  <c r="O601" i="2"/>
  <c r="U601" i="2" s="1"/>
  <c r="V601" i="2" s="1"/>
  <c r="N601" i="2"/>
  <c r="O605" i="2"/>
  <c r="U605" i="2" s="1"/>
  <c r="V605" i="2" s="1"/>
  <c r="N605" i="2"/>
  <c r="O609" i="2"/>
  <c r="U609" i="2" s="1"/>
  <c r="V609" i="2" s="1"/>
  <c r="N609" i="2"/>
  <c r="O613" i="2"/>
  <c r="U613" i="2" s="1"/>
  <c r="V613" i="2" s="1"/>
  <c r="N613" i="2"/>
  <c r="O617" i="2"/>
  <c r="U617" i="2" s="1"/>
  <c r="V617" i="2" s="1"/>
  <c r="N617" i="2"/>
  <c r="O621" i="2"/>
  <c r="U621" i="2" s="1"/>
  <c r="V621" i="2" s="1"/>
  <c r="N621" i="2"/>
  <c r="O625" i="2"/>
  <c r="U625" i="2" s="1"/>
  <c r="V625" i="2" s="1"/>
  <c r="N625" i="2"/>
  <c r="O629" i="2"/>
  <c r="U629" i="2" s="1"/>
  <c r="V629" i="2" s="1"/>
  <c r="N629" i="2"/>
  <c r="O633" i="2"/>
  <c r="U633" i="2" s="1"/>
  <c r="V633" i="2" s="1"/>
  <c r="N633" i="2"/>
  <c r="O637" i="2"/>
  <c r="U637" i="2" s="1"/>
  <c r="V637" i="2" s="1"/>
  <c r="N637" i="2"/>
  <c r="O641" i="2"/>
  <c r="U641" i="2" s="1"/>
  <c r="V641" i="2" s="1"/>
  <c r="N641" i="2"/>
  <c r="O645" i="2"/>
  <c r="U645" i="2" s="1"/>
  <c r="V645" i="2" s="1"/>
  <c r="N645" i="2"/>
  <c r="O649" i="2"/>
  <c r="U649" i="2" s="1"/>
  <c r="V649" i="2" s="1"/>
  <c r="N649" i="2"/>
  <c r="O653" i="2"/>
  <c r="U653" i="2" s="1"/>
  <c r="V653" i="2" s="1"/>
  <c r="N653" i="2"/>
  <c r="O657" i="2"/>
  <c r="U657" i="2" s="1"/>
  <c r="V657" i="2" s="1"/>
  <c r="N657" i="2"/>
  <c r="O661" i="2"/>
  <c r="U661" i="2" s="1"/>
  <c r="V661" i="2" s="1"/>
  <c r="N661" i="2"/>
  <c r="O665" i="2"/>
  <c r="U665" i="2" s="1"/>
  <c r="V665" i="2" s="1"/>
  <c r="N665" i="2"/>
  <c r="O669" i="2"/>
  <c r="U669" i="2" s="1"/>
  <c r="V669" i="2" s="1"/>
  <c r="N669" i="2"/>
  <c r="O673" i="2"/>
  <c r="U673" i="2" s="1"/>
  <c r="V673" i="2" s="1"/>
  <c r="N673" i="2"/>
  <c r="O677" i="2"/>
  <c r="U677" i="2" s="1"/>
  <c r="V677" i="2" s="1"/>
  <c r="N677" i="2"/>
  <c r="O681" i="2"/>
  <c r="U681" i="2" s="1"/>
  <c r="V681" i="2" s="1"/>
  <c r="N681" i="2"/>
  <c r="O692" i="2"/>
  <c r="U692" i="2" s="1"/>
  <c r="V692" i="2" s="1"/>
  <c r="N692" i="2"/>
  <c r="O730" i="2"/>
  <c r="U730" i="2" s="1"/>
  <c r="V730" i="2" s="1"/>
  <c r="N730" i="2"/>
  <c r="O762" i="2"/>
  <c r="U762" i="2" s="1"/>
  <c r="V762" i="2" s="1"/>
  <c r="N762" i="2"/>
  <c r="O794" i="2"/>
  <c r="U794" i="2" s="1"/>
  <c r="V794" i="2" s="1"/>
  <c r="N794" i="2"/>
  <c r="O826" i="2"/>
  <c r="U826" i="2" s="1"/>
  <c r="V826" i="2" s="1"/>
  <c r="N826" i="2"/>
  <c r="O858" i="2"/>
  <c r="U858" i="2" s="1"/>
  <c r="V858" i="2" s="1"/>
  <c r="N858" i="2"/>
  <c r="O687" i="2"/>
  <c r="U687" i="2" s="1"/>
  <c r="V687" i="2" s="1"/>
  <c r="N687" i="2"/>
  <c r="O738" i="2"/>
  <c r="U738" i="2" s="1"/>
  <c r="V738" i="2" s="1"/>
  <c r="N738" i="2"/>
  <c r="O770" i="2"/>
  <c r="U770" i="2" s="1"/>
  <c r="V770" i="2" s="1"/>
  <c r="N770" i="2"/>
  <c r="O802" i="2"/>
  <c r="U802" i="2" s="1"/>
  <c r="V802" i="2" s="1"/>
  <c r="N802" i="2"/>
  <c r="O834" i="2"/>
  <c r="U834" i="2" s="1"/>
  <c r="V834" i="2" s="1"/>
  <c r="N834" i="2"/>
  <c r="O866" i="2"/>
  <c r="U866" i="2" s="1"/>
  <c r="V866" i="2" s="1"/>
  <c r="N866" i="2"/>
  <c r="O902" i="2"/>
  <c r="U902" i="2" s="1"/>
  <c r="V902" i="2" s="1"/>
  <c r="N902" i="2"/>
  <c r="N932" i="2"/>
  <c r="O932" i="2"/>
  <c r="U932" i="2" s="1"/>
  <c r="V932" i="2" s="1"/>
  <c r="O950" i="2"/>
  <c r="U950" i="2" s="1"/>
  <c r="V950" i="2" s="1"/>
  <c r="N950" i="2"/>
  <c r="O966" i="2"/>
  <c r="U966" i="2" s="1"/>
  <c r="V966" i="2" s="1"/>
  <c r="N966" i="2"/>
  <c r="O982" i="2"/>
  <c r="U982" i="2" s="1"/>
  <c r="V982" i="2" s="1"/>
  <c r="N982" i="2"/>
  <c r="O710" i="2"/>
  <c r="U710" i="2" s="1"/>
  <c r="V710" i="2" s="1"/>
  <c r="N710" i="2"/>
  <c r="O718" i="2"/>
  <c r="U718" i="2" s="1"/>
  <c r="V718" i="2" s="1"/>
  <c r="N718" i="2"/>
  <c r="O726" i="2"/>
  <c r="U726" i="2" s="1"/>
  <c r="V726" i="2" s="1"/>
  <c r="N726" i="2"/>
  <c r="O734" i="2"/>
  <c r="U734" i="2" s="1"/>
  <c r="V734" i="2" s="1"/>
  <c r="N734" i="2"/>
  <c r="O742" i="2"/>
  <c r="U742" i="2" s="1"/>
  <c r="V742" i="2" s="1"/>
  <c r="N742" i="2"/>
  <c r="O750" i="2"/>
  <c r="U750" i="2" s="1"/>
  <c r="V750" i="2" s="1"/>
  <c r="N750" i="2"/>
  <c r="O758" i="2"/>
  <c r="U758" i="2" s="1"/>
  <c r="V758" i="2" s="1"/>
  <c r="N758" i="2"/>
  <c r="O766" i="2"/>
  <c r="U766" i="2" s="1"/>
  <c r="V766" i="2" s="1"/>
  <c r="N766" i="2"/>
  <c r="O774" i="2"/>
  <c r="U774" i="2" s="1"/>
  <c r="V774" i="2" s="1"/>
  <c r="N774" i="2"/>
  <c r="O782" i="2"/>
  <c r="U782" i="2" s="1"/>
  <c r="V782" i="2" s="1"/>
  <c r="N782" i="2"/>
  <c r="O790" i="2"/>
  <c r="U790" i="2" s="1"/>
  <c r="V790" i="2" s="1"/>
  <c r="N790" i="2"/>
  <c r="O798" i="2"/>
  <c r="U798" i="2" s="1"/>
  <c r="V798" i="2" s="1"/>
  <c r="N798" i="2"/>
  <c r="O806" i="2"/>
  <c r="U806" i="2" s="1"/>
  <c r="V806" i="2" s="1"/>
  <c r="N806" i="2"/>
  <c r="O814" i="2"/>
  <c r="U814" i="2" s="1"/>
  <c r="V814" i="2" s="1"/>
  <c r="N814" i="2"/>
  <c r="O822" i="2"/>
  <c r="U822" i="2" s="1"/>
  <c r="V822" i="2" s="1"/>
  <c r="N822" i="2"/>
  <c r="O830" i="2"/>
  <c r="U830" i="2" s="1"/>
  <c r="V830" i="2" s="1"/>
  <c r="N830" i="2"/>
  <c r="O838" i="2"/>
  <c r="U838" i="2" s="1"/>
  <c r="V838" i="2" s="1"/>
  <c r="N838" i="2"/>
  <c r="O846" i="2"/>
  <c r="U846" i="2" s="1"/>
  <c r="V846" i="2" s="1"/>
  <c r="N846" i="2"/>
  <c r="O854" i="2"/>
  <c r="U854" i="2" s="1"/>
  <c r="V854" i="2" s="1"/>
  <c r="N854" i="2"/>
  <c r="O862" i="2"/>
  <c r="U862" i="2" s="1"/>
  <c r="V862" i="2" s="1"/>
  <c r="N862" i="2"/>
  <c r="O870" i="2"/>
  <c r="U870" i="2" s="1"/>
  <c r="V870" i="2" s="1"/>
  <c r="N870" i="2"/>
  <c r="O878" i="2"/>
  <c r="U878" i="2" s="1"/>
  <c r="V878" i="2" s="1"/>
  <c r="N878" i="2"/>
  <c r="O886" i="2"/>
  <c r="U886" i="2" s="1"/>
  <c r="V886" i="2" s="1"/>
  <c r="N886" i="2"/>
  <c r="O906" i="2"/>
  <c r="U906" i="2" s="1"/>
  <c r="V906" i="2" s="1"/>
  <c r="N906" i="2"/>
  <c r="O690" i="2"/>
  <c r="U690" i="2" s="1"/>
  <c r="V690" i="2" s="1"/>
  <c r="N695" i="2"/>
  <c r="O698" i="2"/>
  <c r="U698" i="2" s="1"/>
  <c r="V698" i="2" s="1"/>
  <c r="N698" i="2"/>
  <c r="O702" i="2"/>
  <c r="U702" i="2" s="1"/>
  <c r="V702" i="2" s="1"/>
  <c r="N702" i="2"/>
  <c r="O706" i="2"/>
  <c r="U706" i="2" s="1"/>
  <c r="V706" i="2" s="1"/>
  <c r="N706" i="2"/>
  <c r="O890" i="2"/>
  <c r="U890" i="2" s="1"/>
  <c r="V890" i="2" s="1"/>
  <c r="N890" i="2"/>
  <c r="O894" i="2"/>
  <c r="U894" i="2" s="1"/>
  <c r="V894" i="2" s="1"/>
  <c r="N894" i="2"/>
  <c r="O898" i="2"/>
  <c r="U898" i="2" s="1"/>
  <c r="V898" i="2" s="1"/>
  <c r="N898" i="2"/>
  <c r="O910" i="2"/>
  <c r="U910" i="2" s="1"/>
  <c r="V910" i="2" s="1"/>
  <c r="N910" i="2"/>
  <c r="O914" i="2"/>
  <c r="U914" i="2" s="1"/>
  <c r="V914" i="2" s="1"/>
  <c r="N914" i="2"/>
  <c r="O918" i="2"/>
  <c r="U918" i="2" s="1"/>
  <c r="V918" i="2" s="1"/>
  <c r="N918" i="2"/>
  <c r="O922" i="2"/>
  <c r="U922" i="2" s="1"/>
  <c r="V922" i="2" s="1"/>
  <c r="N922" i="2"/>
  <c r="O926" i="2"/>
  <c r="U926" i="2" s="1"/>
  <c r="V926" i="2" s="1"/>
  <c r="N926" i="2"/>
  <c r="O937" i="2"/>
  <c r="U937" i="2" s="1"/>
  <c r="V937" i="2" s="1"/>
  <c r="N937" i="2"/>
  <c r="O942" i="2"/>
  <c r="U942" i="2" s="1"/>
  <c r="V942" i="2" s="1"/>
  <c r="N942" i="2"/>
  <c r="O958" i="2"/>
  <c r="U958" i="2" s="1"/>
  <c r="V958" i="2" s="1"/>
  <c r="N958" i="2"/>
  <c r="O974" i="2"/>
  <c r="U974" i="2" s="1"/>
  <c r="V974" i="2" s="1"/>
  <c r="N974" i="2"/>
  <c r="O990" i="2"/>
  <c r="U990" i="2" s="1"/>
  <c r="V990" i="2" s="1"/>
  <c r="N990" i="2"/>
  <c r="O928" i="2"/>
  <c r="U928" i="2" s="1"/>
  <c r="V928" i="2" s="1"/>
  <c r="N933" i="2"/>
  <c r="N934" i="2"/>
  <c r="O941" i="2"/>
  <c r="U941" i="2" s="1"/>
  <c r="V941" i="2" s="1"/>
  <c r="N941" i="2"/>
  <c r="O946" i="2"/>
  <c r="U946" i="2" s="1"/>
  <c r="V946" i="2" s="1"/>
  <c r="N946" i="2"/>
  <c r="O954" i="2"/>
  <c r="U954" i="2" s="1"/>
  <c r="V954" i="2" s="1"/>
  <c r="N954" i="2"/>
  <c r="O962" i="2"/>
  <c r="U962" i="2" s="1"/>
  <c r="V962" i="2" s="1"/>
  <c r="N962" i="2"/>
  <c r="O970" i="2"/>
  <c r="U970" i="2" s="1"/>
  <c r="V970" i="2" s="1"/>
  <c r="N970" i="2"/>
  <c r="O978" i="2"/>
  <c r="U978" i="2" s="1"/>
  <c r="V978" i="2" s="1"/>
  <c r="N978" i="2"/>
  <c r="O986" i="2"/>
  <c r="U986" i="2" s="1"/>
  <c r="V986" i="2" s="1"/>
  <c r="N986" i="2"/>
  <c r="O994" i="2"/>
  <c r="U994" i="2" s="1"/>
  <c r="V994" i="2" s="1"/>
  <c r="N994" i="2"/>
  <c r="O998" i="2"/>
  <c r="U998" i="2" s="1"/>
  <c r="V998" i="2" s="1"/>
  <c r="N998" i="2"/>
  <c r="O1002" i="2"/>
  <c r="U1002" i="2" s="1"/>
  <c r="V1002" i="2" s="1"/>
  <c r="N1002" i="2"/>
  <c r="O1006" i="2"/>
  <c r="U1006" i="2" s="1"/>
  <c r="V1006" i="2" s="1"/>
  <c r="N1006" i="2"/>
  <c r="N945" i="2"/>
  <c r="N949" i="2"/>
  <c r="N953" i="2"/>
  <c r="N957" i="2"/>
  <c r="N961" i="2"/>
  <c r="N965" i="2"/>
  <c r="N969" i="2"/>
  <c r="N973" i="2"/>
  <c r="N977" i="2"/>
  <c r="N981" i="2"/>
  <c r="N985" i="2"/>
  <c r="N989" i="2"/>
  <c r="N993" i="2"/>
  <c r="D9" i="5"/>
  <c r="F9" i="5"/>
  <c r="C9" i="5"/>
  <c r="E21" i="5"/>
  <c r="D21" i="5"/>
  <c r="F21" i="5"/>
  <c r="C21" i="5"/>
  <c r="F6" i="5"/>
  <c r="D13" i="5"/>
  <c r="C13" i="5"/>
  <c r="C26" i="5" s="1"/>
  <c r="E19" i="5"/>
  <c r="D19" i="5"/>
  <c r="G19" i="5"/>
  <c r="F19" i="5"/>
  <c r="G21" i="5"/>
  <c r="E45" i="5"/>
  <c r="D45" i="5"/>
  <c r="F10" i="5"/>
  <c r="F14" i="5"/>
  <c r="E15" i="5"/>
  <c r="D15" i="5"/>
  <c r="E23" i="5"/>
  <c r="D23" i="5"/>
  <c r="D7" i="5"/>
  <c r="G7" i="5"/>
  <c r="D11" i="5"/>
  <c r="C15" i="5"/>
  <c r="E17" i="5"/>
  <c r="D17" i="5"/>
  <c r="C23" i="5"/>
  <c r="E25" i="5"/>
  <c r="D25" i="5"/>
  <c r="G38" i="5"/>
  <c r="G44" i="5"/>
  <c r="G9" i="5" l="1"/>
  <c r="Z12" i="1"/>
  <c r="U12" i="1"/>
  <c r="O20" i="2"/>
  <c r="U20" i="2" s="1"/>
  <c r="O12" i="2"/>
  <c r="U12" i="2" s="1"/>
  <c r="V12" i="2" s="1"/>
  <c r="Z18" i="1"/>
  <c r="U18" i="1"/>
  <c r="Z13" i="1"/>
  <c r="U13" i="1"/>
  <c r="P28" i="2"/>
  <c r="G6" i="5"/>
  <c r="N7" i="1"/>
  <c r="K7" i="1"/>
  <c r="F7" i="5"/>
  <c r="F26" i="5" s="1"/>
  <c r="Z11" i="1"/>
  <c r="U11" i="1"/>
  <c r="F8" i="5"/>
  <c r="G45" i="5"/>
  <c r="F11" i="5"/>
  <c r="Z17" i="1"/>
  <c r="U17" i="1"/>
  <c r="Z16" i="1"/>
  <c r="U16" i="1"/>
  <c r="Z14" i="1"/>
  <c r="U14" i="1"/>
  <c r="P12" i="2"/>
  <c r="K7" i="2" s="1"/>
  <c r="Z15" i="1"/>
  <c r="U15" i="1"/>
  <c r="D6" i="5"/>
  <c r="E7" i="1"/>
  <c r="O16" i="2"/>
  <c r="U16" i="2" s="1"/>
  <c r="V16" i="2" s="1"/>
  <c r="G8" i="5"/>
  <c r="D8" i="5"/>
  <c r="Z10" i="1"/>
  <c r="G7" i="1"/>
  <c r="U10" i="1"/>
  <c r="I7" i="1"/>
  <c r="V14" i="2" l="1"/>
  <c r="N9" i="3" s="1"/>
  <c r="G9" i="3" s="1"/>
  <c r="I9" i="3" s="1"/>
  <c r="G26" i="5"/>
  <c r="V19" i="2"/>
  <c r="V21" i="2"/>
  <c r="V20" i="2"/>
  <c r="D26" i="5"/>
  <c r="O54" i="4"/>
  <c r="O51" i="4"/>
  <c r="O46" i="4"/>
  <c r="O43" i="4"/>
  <c r="O52" i="4"/>
  <c r="O50" i="4"/>
  <c r="O49" i="4"/>
  <c r="O48" i="4"/>
  <c r="O47" i="4"/>
  <c r="O45" i="4"/>
  <c r="O42" i="4"/>
  <c r="O37" i="4"/>
  <c r="O34" i="4"/>
  <c r="O58" i="4"/>
  <c r="O57" i="4"/>
  <c r="O56" i="4"/>
  <c r="O55" i="4"/>
  <c r="O53" i="4"/>
  <c r="O40" i="4"/>
  <c r="O29" i="4"/>
  <c r="O32" i="4"/>
  <c r="O27" i="4"/>
  <c r="O25" i="4"/>
  <c r="O23" i="4"/>
  <c r="O21" i="4"/>
  <c r="O19" i="4"/>
  <c r="O17" i="4"/>
  <c r="O15" i="4"/>
  <c r="O13" i="4"/>
  <c r="O11" i="4"/>
  <c r="O44" i="4"/>
  <c r="O39" i="4"/>
  <c r="O36" i="4"/>
  <c r="O33" i="4"/>
  <c r="O30" i="4"/>
  <c r="O41" i="4"/>
  <c r="O38" i="4"/>
  <c r="O35" i="4"/>
  <c r="O20" i="4"/>
  <c r="O12" i="4"/>
  <c r="O31" i="4"/>
  <c r="O28" i="4"/>
  <c r="O24" i="4"/>
  <c r="O16" i="4"/>
  <c r="O10" i="4"/>
  <c r="O26" i="4"/>
  <c r="O14" i="4"/>
  <c r="O9" i="4"/>
  <c r="O18" i="4"/>
  <c r="O22" i="4"/>
  <c r="N13" i="3" l="1"/>
  <c r="E13" i="3" s="1"/>
  <c r="N45" i="3"/>
  <c r="J45" i="3" s="1"/>
  <c r="F9" i="3"/>
  <c r="D9" i="3"/>
  <c r="K9" i="3"/>
  <c r="M9" i="3" s="1"/>
  <c r="L9" i="3"/>
  <c r="E9" i="3"/>
  <c r="C9" i="3" s="1"/>
  <c r="N20" i="3"/>
  <c r="B20" i="3" s="1"/>
  <c r="H9" i="3"/>
  <c r="N58" i="3"/>
  <c r="M58" i="3" s="1"/>
  <c r="N39" i="3"/>
  <c r="G39" i="3" s="1"/>
  <c r="B9" i="3"/>
  <c r="N47" i="3"/>
  <c r="L47" i="3" s="1"/>
  <c r="N53" i="3"/>
  <c r="H53" i="3" s="1"/>
  <c r="N36" i="3"/>
  <c r="F36" i="3" s="1"/>
  <c r="N42" i="3"/>
  <c r="M42" i="3" s="1"/>
  <c r="N40" i="3"/>
  <c r="L40" i="3" s="1"/>
  <c r="N34" i="3"/>
  <c r="D34" i="3" s="1"/>
  <c r="N10" i="3"/>
  <c r="D10" i="3" s="1"/>
  <c r="N33" i="3"/>
  <c r="M33" i="3" s="1"/>
  <c r="N38" i="3"/>
  <c r="D38" i="3" s="1"/>
  <c r="N30" i="3"/>
  <c r="J30" i="3" s="1"/>
  <c r="N32" i="3"/>
  <c r="J32" i="3" s="1"/>
  <c r="N56" i="3"/>
  <c r="K56" i="3" s="1"/>
  <c r="N26" i="3"/>
  <c r="J26" i="3" s="1"/>
  <c r="N25" i="3"/>
  <c r="M25" i="3" s="1"/>
  <c r="N49" i="3"/>
  <c r="H49" i="3" s="1"/>
  <c r="N20" i="4"/>
  <c r="J20" i="4"/>
  <c r="M20" i="4" s="1"/>
  <c r="F20" i="4"/>
  <c r="B20" i="4"/>
  <c r="I20" i="4"/>
  <c r="E20" i="4"/>
  <c r="L20" i="4"/>
  <c r="H20" i="4"/>
  <c r="D20" i="4"/>
  <c r="G20" i="4"/>
  <c r="C20" i="4"/>
  <c r="K20" i="4"/>
  <c r="L17" i="4"/>
  <c r="M17" i="4" s="1"/>
  <c r="H17" i="4"/>
  <c r="D17" i="4"/>
  <c r="K17" i="4"/>
  <c r="G17" i="4"/>
  <c r="C17" i="4"/>
  <c r="N17" i="4"/>
  <c r="J17" i="4"/>
  <c r="F17" i="4"/>
  <c r="B17" i="4"/>
  <c r="I17" i="4"/>
  <c r="E17" i="4"/>
  <c r="N57" i="4"/>
  <c r="J57" i="4"/>
  <c r="F57" i="4"/>
  <c r="B57" i="4"/>
  <c r="K57" i="4"/>
  <c r="E57" i="4"/>
  <c r="I57" i="4"/>
  <c r="C57" i="4"/>
  <c r="H57" i="4"/>
  <c r="L57" i="4"/>
  <c r="G57" i="4"/>
  <c r="D57" i="4"/>
  <c r="M57" i="4"/>
  <c r="I45" i="3"/>
  <c r="M45" i="3"/>
  <c r="N41" i="3"/>
  <c r="N12" i="3"/>
  <c r="N22" i="4"/>
  <c r="J22" i="4"/>
  <c r="F22" i="4"/>
  <c r="B22" i="4"/>
  <c r="I22" i="4"/>
  <c r="E22" i="4"/>
  <c r="L22" i="4"/>
  <c r="M22" i="4" s="1"/>
  <c r="H22" i="4"/>
  <c r="D22" i="4"/>
  <c r="C22" i="4"/>
  <c r="K22" i="4"/>
  <c r="G22" i="4"/>
  <c r="N26" i="4"/>
  <c r="J26" i="4"/>
  <c r="F26" i="4"/>
  <c r="B26" i="4"/>
  <c r="I26" i="4"/>
  <c r="E26" i="4"/>
  <c r="L26" i="4"/>
  <c r="M26" i="4" s="1"/>
  <c r="H26" i="4"/>
  <c r="D26" i="4"/>
  <c r="K26" i="4"/>
  <c r="C26" i="4"/>
  <c r="G26" i="4"/>
  <c r="N28" i="4"/>
  <c r="J28" i="4"/>
  <c r="M28" i="4" s="1"/>
  <c r="F28" i="4"/>
  <c r="B28" i="4"/>
  <c r="H28" i="4"/>
  <c r="C28" i="4"/>
  <c r="L28" i="4"/>
  <c r="G28" i="4"/>
  <c r="K28" i="4"/>
  <c r="E28" i="4"/>
  <c r="I28" i="4"/>
  <c r="D28" i="4"/>
  <c r="M35" i="4"/>
  <c r="I35" i="4"/>
  <c r="E35" i="4"/>
  <c r="L35" i="4"/>
  <c r="H35" i="4"/>
  <c r="D35" i="4"/>
  <c r="N35" i="4"/>
  <c r="F35" i="4"/>
  <c r="K35" i="4"/>
  <c r="C35" i="4"/>
  <c r="J35" i="4"/>
  <c r="B35" i="4"/>
  <c r="G35" i="4"/>
  <c r="L33" i="4"/>
  <c r="H33" i="4"/>
  <c r="D33" i="4"/>
  <c r="M33" i="4"/>
  <c r="G33" i="4"/>
  <c r="B33" i="4"/>
  <c r="K33" i="4"/>
  <c r="F33" i="4"/>
  <c r="J33" i="4"/>
  <c r="E33" i="4"/>
  <c r="N33" i="4"/>
  <c r="I33" i="4"/>
  <c r="C33" i="4"/>
  <c r="L11" i="4"/>
  <c r="H11" i="4"/>
  <c r="D11" i="4"/>
  <c r="N11" i="4"/>
  <c r="J11" i="4"/>
  <c r="F11" i="4"/>
  <c r="B11" i="4"/>
  <c r="M11" i="4"/>
  <c r="E11" i="4"/>
  <c r="I11" i="4"/>
  <c r="G11" i="4"/>
  <c r="C11" i="4"/>
  <c r="K11" i="4"/>
  <c r="L19" i="4"/>
  <c r="H19" i="4"/>
  <c r="D19" i="4"/>
  <c r="K19" i="4"/>
  <c r="G19" i="4"/>
  <c r="C19" i="4"/>
  <c r="N19" i="4"/>
  <c r="J19" i="4"/>
  <c r="F19" i="4"/>
  <c r="B19" i="4"/>
  <c r="M19" i="4"/>
  <c r="E19" i="4"/>
  <c r="I19" i="4"/>
  <c r="L27" i="4"/>
  <c r="M27" i="4" s="1"/>
  <c r="H27" i="4"/>
  <c r="D27" i="4"/>
  <c r="K27" i="4"/>
  <c r="G27" i="4"/>
  <c r="C27" i="4"/>
  <c r="N27" i="4"/>
  <c r="J27" i="4"/>
  <c r="F27" i="4"/>
  <c r="B27" i="4"/>
  <c r="E27" i="4"/>
  <c r="I27" i="4"/>
  <c r="N53" i="4"/>
  <c r="J53" i="4"/>
  <c r="F53" i="4"/>
  <c r="B53" i="4"/>
  <c r="H53" i="4"/>
  <c r="C53" i="4"/>
  <c r="I53" i="4"/>
  <c r="G53" i="4"/>
  <c r="K53" i="4"/>
  <c r="E53" i="4"/>
  <c r="D53" i="4"/>
  <c r="L53" i="4"/>
  <c r="M53" i="4" s="1"/>
  <c r="L58" i="4"/>
  <c r="H58" i="4"/>
  <c r="D58" i="4"/>
  <c r="G58" i="4"/>
  <c r="B58" i="4"/>
  <c r="J58" i="4"/>
  <c r="M58" i="4" s="1"/>
  <c r="C58" i="4"/>
  <c r="I58" i="4"/>
  <c r="K58" i="4"/>
  <c r="F58" i="4"/>
  <c r="E58" i="4"/>
  <c r="N58" i="4"/>
  <c r="N45" i="4"/>
  <c r="J45" i="4"/>
  <c r="F45" i="4"/>
  <c r="B45" i="4"/>
  <c r="H45" i="4"/>
  <c r="C45" i="4"/>
  <c r="G45" i="4"/>
  <c r="L45" i="4"/>
  <c r="M45" i="4" s="1"/>
  <c r="E45" i="4"/>
  <c r="I45" i="4"/>
  <c r="D45" i="4"/>
  <c r="K45" i="4"/>
  <c r="L50" i="4"/>
  <c r="M50" i="4" s="1"/>
  <c r="H50" i="4"/>
  <c r="D50" i="4"/>
  <c r="G50" i="4"/>
  <c r="B50" i="4"/>
  <c r="I50" i="4"/>
  <c r="N50" i="4"/>
  <c r="F50" i="4"/>
  <c r="J50" i="4"/>
  <c r="E50" i="4"/>
  <c r="C50" i="4"/>
  <c r="K50" i="4"/>
  <c r="N51" i="4"/>
  <c r="J51" i="4"/>
  <c r="F51" i="4"/>
  <c r="B51" i="4"/>
  <c r="I51" i="4"/>
  <c r="D51" i="4"/>
  <c r="H51" i="4"/>
  <c r="M51" i="4"/>
  <c r="G51" i="4"/>
  <c r="K51" i="4"/>
  <c r="E51" i="4"/>
  <c r="C51" i="4"/>
  <c r="L51" i="4"/>
  <c r="N46" i="3"/>
  <c r="N48" i="3"/>
  <c r="N28" i="3"/>
  <c r="N44" i="3"/>
  <c r="N51" i="3"/>
  <c r="N24" i="3"/>
  <c r="N55" i="3"/>
  <c r="N19" i="3"/>
  <c r="N16" i="3"/>
  <c r="N11" i="3"/>
  <c r="I58" i="3"/>
  <c r="D58" i="3"/>
  <c r="N24" i="4"/>
  <c r="J24" i="4"/>
  <c r="F24" i="4"/>
  <c r="B24" i="4"/>
  <c r="M24" i="4"/>
  <c r="I24" i="4"/>
  <c r="E24" i="4"/>
  <c r="L24" i="4"/>
  <c r="H24" i="4"/>
  <c r="D24" i="4"/>
  <c r="G24" i="4"/>
  <c r="K24" i="4"/>
  <c r="C24" i="4"/>
  <c r="L44" i="4"/>
  <c r="H44" i="4"/>
  <c r="D44" i="4"/>
  <c r="K44" i="4"/>
  <c r="F44" i="4"/>
  <c r="N44" i="4"/>
  <c r="G44" i="4"/>
  <c r="M44" i="4"/>
  <c r="E44" i="4"/>
  <c r="I44" i="4"/>
  <c r="C44" i="4"/>
  <c r="B44" i="4"/>
  <c r="J44" i="4"/>
  <c r="N40" i="4"/>
  <c r="J40" i="4"/>
  <c r="F40" i="4"/>
  <c r="B40" i="4"/>
  <c r="K40" i="4"/>
  <c r="E40" i="4"/>
  <c r="I40" i="4"/>
  <c r="D40" i="4"/>
  <c r="G40" i="4"/>
  <c r="C40" i="4"/>
  <c r="L40" i="4"/>
  <c r="M40" i="4" s="1"/>
  <c r="H40" i="4"/>
  <c r="N42" i="4"/>
  <c r="J42" i="4"/>
  <c r="M42" i="4" s="1"/>
  <c r="F42" i="4"/>
  <c r="B42" i="4"/>
  <c r="I42" i="4"/>
  <c r="D42" i="4"/>
  <c r="H42" i="4"/>
  <c r="C42" i="4"/>
  <c r="K42" i="4"/>
  <c r="G42" i="4"/>
  <c r="E42" i="4"/>
  <c r="L42" i="4"/>
  <c r="N49" i="4"/>
  <c r="J49" i="4"/>
  <c r="F49" i="4"/>
  <c r="B49" i="4"/>
  <c r="K49" i="4"/>
  <c r="E49" i="4"/>
  <c r="H49" i="4"/>
  <c r="G49" i="4"/>
  <c r="I49" i="4"/>
  <c r="D49" i="4"/>
  <c r="C49" i="4"/>
  <c r="L49" i="4"/>
  <c r="M49" i="4" s="1"/>
  <c r="L46" i="4"/>
  <c r="H46" i="4"/>
  <c r="D46" i="4"/>
  <c r="J46" i="4"/>
  <c r="E46" i="4"/>
  <c r="N46" i="4"/>
  <c r="G46" i="4"/>
  <c r="M46" i="4"/>
  <c r="F46" i="4"/>
  <c r="I46" i="4"/>
  <c r="C46" i="4"/>
  <c r="B46" i="4"/>
  <c r="K46" i="4"/>
  <c r="E26" i="5"/>
  <c r="E12" i="5"/>
  <c r="E9" i="5"/>
  <c r="E10" i="5"/>
  <c r="E13" i="5"/>
  <c r="E7" i="5"/>
  <c r="E11" i="5"/>
  <c r="E14" i="5"/>
  <c r="N18" i="4"/>
  <c r="J18" i="4"/>
  <c r="F18" i="4"/>
  <c r="B18" i="4"/>
  <c r="I18" i="4"/>
  <c r="E18" i="4"/>
  <c r="L18" i="4"/>
  <c r="M18" i="4" s="1"/>
  <c r="H18" i="4"/>
  <c r="D18" i="4"/>
  <c r="K18" i="4"/>
  <c r="C18" i="4"/>
  <c r="G18" i="4"/>
  <c r="N10" i="4"/>
  <c r="J10" i="4"/>
  <c r="F10" i="4"/>
  <c r="B10" i="4"/>
  <c r="L10" i="4"/>
  <c r="M10" i="4" s="1"/>
  <c r="H10" i="4"/>
  <c r="D10" i="4"/>
  <c r="K10" i="4"/>
  <c r="C10" i="4"/>
  <c r="G10" i="4"/>
  <c r="E10" i="4"/>
  <c r="I10" i="4"/>
  <c r="N38" i="4"/>
  <c r="J38" i="4"/>
  <c r="F38" i="4"/>
  <c r="B38" i="4"/>
  <c r="L38" i="4"/>
  <c r="G38" i="4"/>
  <c r="K38" i="4"/>
  <c r="E38" i="4"/>
  <c r="M38" i="4"/>
  <c r="C38" i="4"/>
  <c r="I38" i="4"/>
  <c r="H38" i="4"/>
  <c r="D38" i="4"/>
  <c r="L13" i="4"/>
  <c r="H13" i="4"/>
  <c r="D13" i="4"/>
  <c r="K13" i="4"/>
  <c r="G13" i="4"/>
  <c r="C13" i="4"/>
  <c r="N13" i="4"/>
  <c r="J13" i="4"/>
  <c r="M13" i="4" s="1"/>
  <c r="F13" i="4"/>
  <c r="B13" i="4"/>
  <c r="I13" i="4"/>
  <c r="E13" i="4"/>
  <c r="N32" i="4"/>
  <c r="J32" i="4"/>
  <c r="F32" i="4"/>
  <c r="B32" i="4"/>
  <c r="K32" i="4"/>
  <c r="E32" i="4"/>
  <c r="I32" i="4"/>
  <c r="D32" i="4"/>
  <c r="H32" i="4"/>
  <c r="C32" i="4"/>
  <c r="G32" i="4"/>
  <c r="L32" i="4"/>
  <c r="M32" i="4" s="1"/>
  <c r="J34" i="3"/>
  <c r="N14" i="4"/>
  <c r="J14" i="4"/>
  <c r="M14" i="4" s="1"/>
  <c r="F14" i="4"/>
  <c r="B14" i="4"/>
  <c r="I14" i="4"/>
  <c r="E14" i="4"/>
  <c r="L14" i="4"/>
  <c r="H14" i="4"/>
  <c r="D14" i="4"/>
  <c r="C14" i="4"/>
  <c r="K14" i="4"/>
  <c r="G14" i="4"/>
  <c r="N30" i="4"/>
  <c r="J30" i="4"/>
  <c r="F30" i="4"/>
  <c r="B30" i="4"/>
  <c r="L30" i="4"/>
  <c r="M30" i="4" s="1"/>
  <c r="G30" i="4"/>
  <c r="K30" i="4"/>
  <c r="E30" i="4"/>
  <c r="I30" i="4"/>
  <c r="D30" i="4"/>
  <c r="H30" i="4"/>
  <c r="C30" i="4"/>
  <c r="L25" i="4"/>
  <c r="H25" i="4"/>
  <c r="D25" i="4"/>
  <c r="K25" i="4"/>
  <c r="G25" i="4"/>
  <c r="C25" i="4"/>
  <c r="N25" i="4"/>
  <c r="J25" i="4"/>
  <c r="F25" i="4"/>
  <c r="B25" i="4"/>
  <c r="I25" i="4"/>
  <c r="M25" i="4"/>
  <c r="E25" i="4"/>
  <c r="L31" i="4"/>
  <c r="H31" i="4"/>
  <c r="D31" i="4"/>
  <c r="N31" i="4"/>
  <c r="I31" i="4"/>
  <c r="C31" i="4"/>
  <c r="M31" i="4"/>
  <c r="G31" i="4"/>
  <c r="B31" i="4"/>
  <c r="K31" i="4"/>
  <c r="F31" i="4"/>
  <c r="J31" i="4"/>
  <c r="E31" i="4"/>
  <c r="N36" i="4"/>
  <c r="J36" i="4"/>
  <c r="F36" i="4"/>
  <c r="H36" i="4"/>
  <c r="C36" i="4"/>
  <c r="L36" i="4"/>
  <c r="M36" i="4" s="1"/>
  <c r="G36" i="4"/>
  <c r="B36" i="4"/>
  <c r="I36" i="4"/>
  <c r="E36" i="4"/>
  <c r="D36" i="4"/>
  <c r="K36" i="4"/>
  <c r="L21" i="4"/>
  <c r="M21" i="4" s="1"/>
  <c r="H21" i="4"/>
  <c r="D21" i="4"/>
  <c r="K21" i="4"/>
  <c r="G21" i="4"/>
  <c r="C21" i="4"/>
  <c r="N21" i="4"/>
  <c r="J21" i="4"/>
  <c r="F21" i="4"/>
  <c r="B21" i="4"/>
  <c r="I21" i="4"/>
  <c r="E21" i="4"/>
  <c r="N55" i="4"/>
  <c r="J55" i="4"/>
  <c r="F55" i="4"/>
  <c r="B55" i="4"/>
  <c r="L55" i="4"/>
  <c r="G55" i="4"/>
  <c r="I55" i="4"/>
  <c r="C55" i="4"/>
  <c r="H55" i="4"/>
  <c r="K55" i="4"/>
  <c r="E55" i="4"/>
  <c r="D55" i="4"/>
  <c r="M55" i="4"/>
  <c r="K34" i="4"/>
  <c r="G34" i="4"/>
  <c r="N34" i="4"/>
  <c r="J34" i="4"/>
  <c r="F34" i="4"/>
  <c r="B34" i="4"/>
  <c r="L34" i="4"/>
  <c r="M34" i="4" s="1"/>
  <c r="D34" i="4"/>
  <c r="I34" i="4"/>
  <c r="C34" i="4"/>
  <c r="H34" i="4"/>
  <c r="E34" i="4"/>
  <c r="N47" i="4"/>
  <c r="J47" i="4"/>
  <c r="F47" i="4"/>
  <c r="B47" i="4"/>
  <c r="L47" i="4"/>
  <c r="M47" i="4" s="1"/>
  <c r="G47" i="4"/>
  <c r="H47" i="4"/>
  <c r="E47" i="4"/>
  <c r="I47" i="4"/>
  <c r="D47" i="4"/>
  <c r="C47" i="4"/>
  <c r="K47" i="4"/>
  <c r="L52" i="4"/>
  <c r="H52" i="4"/>
  <c r="D52" i="4"/>
  <c r="K52" i="4"/>
  <c r="F52" i="4"/>
  <c r="I52" i="4"/>
  <c r="B52" i="4"/>
  <c r="N52" i="4"/>
  <c r="G52" i="4"/>
  <c r="J52" i="4"/>
  <c r="E52" i="4"/>
  <c r="C52" i="4"/>
  <c r="M52" i="4"/>
  <c r="L54" i="4"/>
  <c r="H54" i="4"/>
  <c r="D54" i="4"/>
  <c r="J54" i="4"/>
  <c r="M54" i="4" s="1"/>
  <c r="E54" i="4"/>
  <c r="I54" i="4"/>
  <c r="B54" i="4"/>
  <c r="N54" i="4"/>
  <c r="G54" i="4"/>
  <c r="K54" i="4"/>
  <c r="F54" i="4"/>
  <c r="C54" i="4"/>
  <c r="D53" i="3"/>
  <c r="I53" i="3"/>
  <c r="E8" i="5"/>
  <c r="I13" i="3"/>
  <c r="C13" i="3"/>
  <c r="F13" i="3"/>
  <c r="N27" i="3"/>
  <c r="N29" i="3"/>
  <c r="N31" i="3"/>
  <c r="N21" i="3"/>
  <c r="N23" i="3"/>
  <c r="N15" i="3"/>
  <c r="N52" i="3"/>
  <c r="L9" i="4"/>
  <c r="H9" i="4"/>
  <c r="D9" i="4"/>
  <c r="B7" i="4"/>
  <c r="N9" i="4"/>
  <c r="J9" i="4"/>
  <c r="M9" i="4" s="1"/>
  <c r="E7" i="4" s="1"/>
  <c r="F9" i="4"/>
  <c r="B9" i="4"/>
  <c r="I9" i="4"/>
  <c r="E9" i="4"/>
  <c r="C9" i="4"/>
  <c r="K9" i="4"/>
  <c r="G9" i="4"/>
  <c r="N16" i="4"/>
  <c r="J16" i="4"/>
  <c r="F16" i="4"/>
  <c r="B16" i="4"/>
  <c r="M16" i="4"/>
  <c r="I16" i="4"/>
  <c r="E16" i="4"/>
  <c r="L16" i="4"/>
  <c r="H16" i="4"/>
  <c r="D16" i="4"/>
  <c r="G16" i="4"/>
  <c r="K16" i="4"/>
  <c r="C16" i="4"/>
  <c r="N12" i="4"/>
  <c r="J12" i="4"/>
  <c r="F12" i="4"/>
  <c r="B12" i="4"/>
  <c r="I12" i="4"/>
  <c r="E12" i="4"/>
  <c r="L12" i="4"/>
  <c r="M12" i="4" s="1"/>
  <c r="H12" i="4"/>
  <c r="D12" i="4"/>
  <c r="G12" i="4"/>
  <c r="K12" i="4"/>
  <c r="C12" i="4"/>
  <c r="L41" i="4"/>
  <c r="H41" i="4"/>
  <c r="D41" i="4"/>
  <c r="G41" i="4"/>
  <c r="B41" i="4"/>
  <c r="K41" i="4"/>
  <c r="F41" i="4"/>
  <c r="N41" i="4"/>
  <c r="C41" i="4"/>
  <c r="J41" i="4"/>
  <c r="M41" i="4" s="1"/>
  <c r="I41" i="4"/>
  <c r="E41" i="4"/>
  <c r="L39" i="4"/>
  <c r="H39" i="4"/>
  <c r="D39" i="4"/>
  <c r="N39" i="4"/>
  <c r="I39" i="4"/>
  <c r="C39" i="4"/>
  <c r="G39" i="4"/>
  <c r="B39" i="4"/>
  <c r="J39" i="4"/>
  <c r="M39" i="4" s="1"/>
  <c r="F39" i="4"/>
  <c r="E39" i="4"/>
  <c r="K39" i="4"/>
  <c r="L15" i="4"/>
  <c r="M15" i="4" s="1"/>
  <c r="H15" i="4"/>
  <c r="D15" i="4"/>
  <c r="K15" i="4"/>
  <c r="G15" i="4"/>
  <c r="C15" i="4"/>
  <c r="N15" i="4"/>
  <c r="J15" i="4"/>
  <c r="F15" i="4"/>
  <c r="B15" i="4"/>
  <c r="E15" i="4"/>
  <c r="I15" i="4"/>
  <c r="L23" i="4"/>
  <c r="H23" i="4"/>
  <c r="D23" i="4"/>
  <c r="K23" i="4"/>
  <c r="G23" i="4"/>
  <c r="C23" i="4"/>
  <c r="N23" i="4"/>
  <c r="J23" i="4"/>
  <c r="F23" i="4"/>
  <c r="B23" i="4"/>
  <c r="E23" i="4"/>
  <c r="M23" i="4"/>
  <c r="I23" i="4"/>
  <c r="L29" i="4"/>
  <c r="H29" i="4"/>
  <c r="D29" i="4"/>
  <c r="J29" i="4"/>
  <c r="M29" i="4" s="1"/>
  <c r="E29" i="4"/>
  <c r="N29" i="4"/>
  <c r="I29" i="4"/>
  <c r="C29" i="4"/>
  <c r="G29" i="4"/>
  <c r="B29" i="4"/>
  <c r="F29" i="4"/>
  <c r="K29" i="4"/>
  <c r="L56" i="4"/>
  <c r="H56" i="4"/>
  <c r="D56" i="4"/>
  <c r="N56" i="4"/>
  <c r="I56" i="4"/>
  <c r="C56" i="4"/>
  <c r="J56" i="4"/>
  <c r="M56" i="4" s="1"/>
  <c r="B56" i="4"/>
  <c r="G56" i="4"/>
  <c r="K56" i="4"/>
  <c r="F56" i="4"/>
  <c r="E56" i="4"/>
  <c r="L37" i="4"/>
  <c r="M37" i="4" s="1"/>
  <c r="H37" i="4"/>
  <c r="D37" i="4"/>
  <c r="J37" i="4"/>
  <c r="E37" i="4"/>
  <c r="N37" i="4"/>
  <c r="I37" i="4"/>
  <c r="C37" i="4"/>
  <c r="F37" i="4"/>
  <c r="B37" i="4"/>
  <c r="K37" i="4"/>
  <c r="G37" i="4"/>
  <c r="L48" i="4"/>
  <c r="H48" i="4"/>
  <c r="D48" i="4"/>
  <c r="N48" i="4"/>
  <c r="I48" i="4"/>
  <c r="C48" i="4"/>
  <c r="G48" i="4"/>
  <c r="M48" i="4"/>
  <c r="F48" i="4"/>
  <c r="J48" i="4"/>
  <c r="E48" i="4"/>
  <c r="B48" i="4"/>
  <c r="K48" i="4"/>
  <c r="N43" i="4"/>
  <c r="J43" i="4"/>
  <c r="F43" i="4"/>
  <c r="I43" i="4"/>
  <c r="D43" i="4"/>
  <c r="G43" i="4"/>
  <c r="L43" i="4"/>
  <c r="M43" i="4" s="1"/>
  <c r="E43" i="4"/>
  <c r="H43" i="4"/>
  <c r="C43" i="4"/>
  <c r="B43" i="4"/>
  <c r="K43" i="4"/>
  <c r="E6" i="5"/>
  <c r="N57" i="3"/>
  <c r="N35" i="3"/>
  <c r="N37" i="3"/>
  <c r="N14" i="3"/>
  <c r="N50" i="3"/>
  <c r="N17" i="3"/>
  <c r="N22" i="3"/>
  <c r="N43" i="3"/>
  <c r="N18" i="3"/>
  <c r="J9" i="3"/>
  <c r="N54" i="3"/>
  <c r="F30" i="3" l="1"/>
  <c r="K39" i="3"/>
  <c r="G34" i="3"/>
  <c r="L30" i="3"/>
  <c r="K53" i="3"/>
  <c r="K34" i="3"/>
  <c r="K30" i="3"/>
  <c r="K58" i="3"/>
  <c r="F45" i="3"/>
  <c r="H13" i="3"/>
  <c r="G13" i="3"/>
  <c r="M13" i="3"/>
  <c r="D13" i="3"/>
  <c r="B13" i="3"/>
  <c r="K13" i="3"/>
  <c r="K26" i="3"/>
  <c r="L13" i="3"/>
  <c r="J13" i="3"/>
  <c r="G10" i="3"/>
  <c r="J10" i="3" s="1"/>
  <c r="I36" i="3"/>
  <c r="H10" i="3"/>
  <c r="H36" i="3"/>
  <c r="L39" i="3"/>
  <c r="F39" i="3"/>
  <c r="E53" i="3"/>
  <c r="F53" i="3"/>
  <c r="L53" i="3"/>
  <c r="E34" i="3"/>
  <c r="B34" i="3"/>
  <c r="H34" i="3"/>
  <c r="I30" i="3"/>
  <c r="M30" i="3"/>
  <c r="D30" i="3"/>
  <c r="J58" i="3"/>
  <c r="H58" i="3"/>
  <c r="C58" i="3"/>
  <c r="K45" i="3"/>
  <c r="H45" i="3"/>
  <c r="L45" i="3"/>
  <c r="G53" i="3"/>
  <c r="M53" i="3"/>
  <c r="J53" i="3"/>
  <c r="M34" i="3"/>
  <c r="F34" i="3"/>
  <c r="L34" i="3"/>
  <c r="C30" i="3"/>
  <c r="B30" i="3"/>
  <c r="H30" i="3"/>
  <c r="B58" i="3"/>
  <c r="E58" i="3"/>
  <c r="G58" i="3"/>
  <c r="C45" i="3"/>
  <c r="D45" i="3"/>
  <c r="B45" i="3"/>
  <c r="C53" i="3"/>
  <c r="B53" i="3"/>
  <c r="C34" i="3"/>
  <c r="I34" i="3"/>
  <c r="G30" i="3"/>
  <c r="E30" i="3"/>
  <c r="F58" i="3"/>
  <c r="L58" i="3"/>
  <c r="E45" i="3"/>
  <c r="G45" i="3"/>
  <c r="L36" i="3"/>
  <c r="E36" i="3"/>
  <c r="J36" i="3"/>
  <c r="I39" i="3"/>
  <c r="M36" i="3"/>
  <c r="J39" i="3"/>
  <c r="M39" i="3"/>
  <c r="B10" i="3"/>
  <c r="L10" i="3"/>
  <c r="K10" i="3"/>
  <c r="M10" i="3" s="1"/>
  <c r="F10" i="3"/>
  <c r="C36" i="3"/>
  <c r="G36" i="3"/>
  <c r="B36" i="3"/>
  <c r="B39" i="3"/>
  <c r="H39" i="3"/>
  <c r="C39" i="3"/>
  <c r="E10" i="3"/>
  <c r="C10" i="3" s="1"/>
  <c r="K36" i="3"/>
  <c r="D36" i="3"/>
  <c r="D39" i="3"/>
  <c r="E39" i="3"/>
  <c r="I25" i="3"/>
  <c r="C32" i="3"/>
  <c r="D20" i="3"/>
  <c r="F20" i="3"/>
  <c r="M49" i="3"/>
  <c r="K20" i="3"/>
  <c r="E20" i="3"/>
  <c r="H20" i="3"/>
  <c r="J20" i="3"/>
  <c r="I20" i="3"/>
  <c r="M20" i="3"/>
  <c r="L20" i="3"/>
  <c r="C20" i="3"/>
  <c r="G20" i="3"/>
  <c r="G47" i="3"/>
  <c r="K40" i="3"/>
  <c r="J47" i="3"/>
  <c r="I26" i="3"/>
  <c r="B40" i="3"/>
  <c r="D26" i="3"/>
  <c r="C47" i="3"/>
  <c r="M40" i="3"/>
  <c r="E49" i="3"/>
  <c r="K25" i="3"/>
  <c r="G32" i="3"/>
  <c r="B32" i="3"/>
  <c r="K49" i="3"/>
  <c r="D49" i="3"/>
  <c r="D32" i="3"/>
  <c r="C49" i="3"/>
  <c r="L49" i="3"/>
  <c r="M32" i="3"/>
  <c r="L32" i="3"/>
  <c r="I49" i="3"/>
  <c r="J49" i="3"/>
  <c r="J25" i="3"/>
  <c r="E32" i="3"/>
  <c r="K32" i="3"/>
  <c r="F32" i="3"/>
  <c r="F49" i="3"/>
  <c r="H25" i="3"/>
  <c r="C38" i="3"/>
  <c r="B38" i="3"/>
  <c r="H38" i="3"/>
  <c r="F47" i="3"/>
  <c r="E47" i="3"/>
  <c r="D47" i="3"/>
  <c r="E26" i="3"/>
  <c r="B26" i="3"/>
  <c r="H26" i="3"/>
  <c r="G40" i="3"/>
  <c r="D40" i="3"/>
  <c r="F40" i="3"/>
  <c r="G49" i="3"/>
  <c r="B49" i="3"/>
  <c r="L25" i="3"/>
  <c r="I32" i="3"/>
  <c r="H32" i="3"/>
  <c r="K38" i="3"/>
  <c r="F38" i="3"/>
  <c r="L38" i="3"/>
  <c r="I47" i="3"/>
  <c r="K47" i="3"/>
  <c r="H47" i="3"/>
  <c r="M26" i="3"/>
  <c r="F26" i="3"/>
  <c r="L26" i="3"/>
  <c r="I40" i="3"/>
  <c r="H40" i="3"/>
  <c r="J40" i="3"/>
  <c r="C25" i="3"/>
  <c r="G38" i="3"/>
  <c r="E38" i="3"/>
  <c r="J38" i="3"/>
  <c r="M47" i="3"/>
  <c r="B47" i="3"/>
  <c r="C26" i="3"/>
  <c r="G26" i="3"/>
  <c r="E40" i="3"/>
  <c r="C40" i="3"/>
  <c r="I38" i="3"/>
  <c r="M38" i="3"/>
  <c r="H56" i="3"/>
  <c r="J56" i="3"/>
  <c r="I10" i="3"/>
  <c r="L56" i="3"/>
  <c r="C56" i="3"/>
  <c r="I56" i="3"/>
  <c r="J42" i="3"/>
  <c r="F42" i="3"/>
  <c r="E42" i="3"/>
  <c r="B25" i="3"/>
  <c r="F25" i="3"/>
  <c r="E25" i="3"/>
  <c r="B33" i="3"/>
  <c r="F33" i="3"/>
  <c r="E33" i="3"/>
  <c r="E56" i="3"/>
  <c r="F56" i="3"/>
  <c r="G56" i="3"/>
  <c r="M56" i="3"/>
  <c r="B42" i="3"/>
  <c r="K42" i="3"/>
  <c r="I42" i="3"/>
  <c r="J33" i="3"/>
  <c r="C33" i="3"/>
  <c r="I33" i="3"/>
  <c r="G42" i="3"/>
  <c r="D42" i="3"/>
  <c r="H42" i="3"/>
  <c r="H33" i="3"/>
  <c r="L33" i="3"/>
  <c r="K33" i="3"/>
  <c r="D56" i="3"/>
  <c r="B56" i="3"/>
  <c r="L42" i="3"/>
  <c r="C42" i="3"/>
  <c r="D25" i="3"/>
  <c r="G25" i="3"/>
  <c r="D33" i="3"/>
  <c r="G33" i="3"/>
  <c r="K50" i="3"/>
  <c r="G50" i="3"/>
  <c r="C50" i="3"/>
  <c r="M50" i="3"/>
  <c r="I50" i="3"/>
  <c r="E50" i="3"/>
  <c r="H50" i="3"/>
  <c r="L50" i="3"/>
  <c r="D50" i="3"/>
  <c r="J50" i="3"/>
  <c r="F50" i="3"/>
  <c r="B50" i="3"/>
  <c r="K15" i="3"/>
  <c r="G15" i="3"/>
  <c r="C15" i="3"/>
  <c r="M15" i="3"/>
  <c r="I15" i="3"/>
  <c r="E15" i="3"/>
  <c r="H15" i="3"/>
  <c r="F15" i="3"/>
  <c r="L15" i="3"/>
  <c r="D15" i="3"/>
  <c r="J15" i="3"/>
  <c r="B15" i="3"/>
  <c r="J55" i="3"/>
  <c r="F55" i="3"/>
  <c r="B55" i="3"/>
  <c r="L55" i="3"/>
  <c r="H55" i="3"/>
  <c r="D55" i="3"/>
  <c r="G55" i="3"/>
  <c r="K55" i="3"/>
  <c r="C55" i="3"/>
  <c r="I55" i="3"/>
  <c r="E55" i="3"/>
  <c r="M55" i="3"/>
  <c r="J28" i="3"/>
  <c r="F28" i="3"/>
  <c r="B28" i="3"/>
  <c r="L28" i="3"/>
  <c r="H28" i="3"/>
  <c r="D28" i="3"/>
  <c r="G28" i="3"/>
  <c r="M28" i="3"/>
  <c r="E28" i="3"/>
  <c r="K28" i="3"/>
  <c r="C28" i="3"/>
  <c r="I28" i="3"/>
  <c r="F12" i="3"/>
  <c r="B12" i="3"/>
  <c r="L12" i="3"/>
  <c r="H12" i="3"/>
  <c r="D12" i="3"/>
  <c r="G12" i="3"/>
  <c r="J12" i="3" s="1"/>
  <c r="E12" i="3"/>
  <c r="C12" i="3" s="1"/>
  <c r="K12" i="3"/>
  <c r="M12" i="3" s="1"/>
  <c r="L57" i="3"/>
  <c r="H57" i="3"/>
  <c r="D57" i="3"/>
  <c r="J57" i="3"/>
  <c r="F57" i="3"/>
  <c r="B57" i="3"/>
  <c r="M57" i="3"/>
  <c r="E57" i="3"/>
  <c r="I57" i="3"/>
  <c r="K57" i="3"/>
  <c r="G57" i="3"/>
  <c r="C57" i="3"/>
  <c r="L14" i="3"/>
  <c r="H14" i="3"/>
  <c r="D14" i="3"/>
  <c r="J14" i="3"/>
  <c r="F14" i="3"/>
  <c r="B14" i="3"/>
  <c r="M14" i="3"/>
  <c r="E14" i="3"/>
  <c r="K14" i="3"/>
  <c r="C14" i="3"/>
  <c r="I14" i="3"/>
  <c r="G14" i="3"/>
  <c r="K27" i="3"/>
  <c r="G27" i="3"/>
  <c r="C27" i="3"/>
  <c r="M27" i="3"/>
  <c r="I27" i="3"/>
  <c r="E27" i="3"/>
  <c r="L27" i="3"/>
  <c r="D27" i="3"/>
  <c r="J27" i="3"/>
  <c r="B27" i="3"/>
  <c r="H27" i="3"/>
  <c r="F27" i="3"/>
  <c r="K11" i="3"/>
  <c r="M11" i="3" s="1"/>
  <c r="G11" i="3"/>
  <c r="I11" i="3" s="1"/>
  <c r="E11" i="3"/>
  <c r="C11" i="3" s="1"/>
  <c r="L11" i="3"/>
  <c r="D11" i="3"/>
  <c r="B11" i="3"/>
  <c r="H11" i="3"/>
  <c r="F11" i="3"/>
  <c r="J24" i="3"/>
  <c r="F24" i="3"/>
  <c r="B24" i="3"/>
  <c r="L24" i="3"/>
  <c r="H24" i="3"/>
  <c r="D24" i="3"/>
  <c r="K24" i="3"/>
  <c r="C24" i="3"/>
  <c r="I24" i="3"/>
  <c r="G24" i="3"/>
  <c r="E24" i="3"/>
  <c r="M24" i="3"/>
  <c r="M48" i="3"/>
  <c r="I48" i="3"/>
  <c r="E48" i="3"/>
  <c r="K48" i="3"/>
  <c r="G48" i="3"/>
  <c r="C48" i="3"/>
  <c r="J48" i="3"/>
  <c r="B48" i="3"/>
  <c r="F48" i="3"/>
  <c r="D48" i="3"/>
  <c r="L48" i="3"/>
  <c r="H48" i="3"/>
  <c r="J41" i="3"/>
  <c r="F41" i="3"/>
  <c r="K41" i="3"/>
  <c r="E41" i="3"/>
  <c r="M41" i="3"/>
  <c r="H41" i="3"/>
  <c r="C41" i="3"/>
  <c r="G41" i="3"/>
  <c r="D41" i="3"/>
  <c r="L41" i="3"/>
  <c r="B41" i="3"/>
  <c r="I41" i="3"/>
  <c r="L18" i="3"/>
  <c r="H18" i="3"/>
  <c r="D18" i="3"/>
  <c r="J18" i="3"/>
  <c r="F18" i="3"/>
  <c r="B18" i="3"/>
  <c r="I18" i="3"/>
  <c r="G18" i="3"/>
  <c r="M18" i="3"/>
  <c r="E18" i="3"/>
  <c r="K18" i="3"/>
  <c r="C18" i="3"/>
  <c r="M29" i="3"/>
  <c r="I29" i="3"/>
  <c r="E29" i="3"/>
  <c r="K29" i="3"/>
  <c r="G29" i="3"/>
  <c r="C29" i="3"/>
  <c r="J29" i="3"/>
  <c r="B29" i="3"/>
  <c r="H29" i="3"/>
  <c r="F29" i="3"/>
  <c r="D29" i="3"/>
  <c r="L29" i="3"/>
  <c r="L43" i="3"/>
  <c r="H43" i="3"/>
  <c r="D43" i="3"/>
  <c r="K43" i="3"/>
  <c r="F43" i="3"/>
  <c r="I43" i="3"/>
  <c r="C43" i="3"/>
  <c r="M43" i="3"/>
  <c r="B43" i="3"/>
  <c r="J43" i="3"/>
  <c r="G43" i="3"/>
  <c r="E43" i="3"/>
  <c r="K23" i="3"/>
  <c r="G23" i="3"/>
  <c r="C23" i="3"/>
  <c r="M23" i="3"/>
  <c r="I23" i="3"/>
  <c r="E23" i="3"/>
  <c r="H23" i="3"/>
  <c r="F23" i="3"/>
  <c r="L23" i="3"/>
  <c r="D23" i="3"/>
  <c r="J23" i="3"/>
  <c r="B23" i="3"/>
  <c r="K54" i="3"/>
  <c r="G54" i="3"/>
  <c r="C54" i="3"/>
  <c r="M54" i="3"/>
  <c r="I54" i="3"/>
  <c r="E54" i="3"/>
  <c r="L54" i="3"/>
  <c r="D54" i="3"/>
  <c r="H54" i="3"/>
  <c r="F54" i="3"/>
  <c r="B54" i="3"/>
  <c r="J54" i="3"/>
  <c r="L22" i="3"/>
  <c r="H22" i="3"/>
  <c r="D22" i="3"/>
  <c r="J22" i="3"/>
  <c r="F22" i="3"/>
  <c r="B22" i="3"/>
  <c r="M22" i="3"/>
  <c r="E22" i="3"/>
  <c r="K22" i="3"/>
  <c r="C22" i="3"/>
  <c r="I22" i="3"/>
  <c r="G22" i="3"/>
  <c r="M37" i="3"/>
  <c r="I37" i="3"/>
  <c r="E37" i="3"/>
  <c r="K37" i="3"/>
  <c r="G37" i="3"/>
  <c r="C37" i="3"/>
  <c r="J37" i="3"/>
  <c r="B37" i="3"/>
  <c r="H37" i="3"/>
  <c r="F37" i="3"/>
  <c r="L37" i="3"/>
  <c r="D37" i="3"/>
  <c r="M21" i="3"/>
  <c r="I21" i="3"/>
  <c r="E21" i="3"/>
  <c r="K21" i="3"/>
  <c r="G21" i="3"/>
  <c r="C21" i="3"/>
  <c r="J21" i="3"/>
  <c r="B21" i="3"/>
  <c r="H21" i="3"/>
  <c r="F21" i="3"/>
  <c r="L21" i="3"/>
  <c r="D21" i="3"/>
  <c r="J16" i="3"/>
  <c r="F16" i="3"/>
  <c r="B16" i="3"/>
  <c r="L16" i="3"/>
  <c r="H16" i="3"/>
  <c r="D16" i="3"/>
  <c r="K16" i="3"/>
  <c r="C16" i="3"/>
  <c r="I16" i="3"/>
  <c r="G16" i="3"/>
  <c r="M16" i="3"/>
  <c r="E16" i="3"/>
  <c r="J51" i="3"/>
  <c r="F51" i="3"/>
  <c r="B51" i="3"/>
  <c r="L51" i="3"/>
  <c r="H51" i="3"/>
  <c r="D51" i="3"/>
  <c r="K51" i="3"/>
  <c r="C51" i="3"/>
  <c r="G51" i="3"/>
  <c r="M51" i="3"/>
  <c r="I51" i="3"/>
  <c r="E51" i="3"/>
  <c r="M46" i="3"/>
  <c r="I46" i="3"/>
  <c r="E46" i="3"/>
  <c r="J46" i="3"/>
  <c r="D46" i="3"/>
  <c r="L46" i="3"/>
  <c r="G46" i="3"/>
  <c r="B46" i="3"/>
  <c r="F46" i="3"/>
  <c r="C46" i="3"/>
  <c r="K46" i="3"/>
  <c r="H46" i="3"/>
  <c r="M17" i="3"/>
  <c r="I17" i="3"/>
  <c r="E17" i="3"/>
  <c r="K17" i="3"/>
  <c r="G17" i="3"/>
  <c r="C17" i="3"/>
  <c r="F17" i="3"/>
  <c r="L17" i="3"/>
  <c r="D17" i="3"/>
  <c r="J17" i="3"/>
  <c r="B17" i="3"/>
  <c r="H17" i="3"/>
  <c r="K35" i="3"/>
  <c r="G35" i="3"/>
  <c r="C35" i="3"/>
  <c r="M35" i="3"/>
  <c r="I35" i="3"/>
  <c r="E35" i="3"/>
  <c r="L35" i="3"/>
  <c r="D35" i="3"/>
  <c r="J35" i="3"/>
  <c r="B35" i="3"/>
  <c r="H35" i="3"/>
  <c r="F35" i="3"/>
  <c r="M52" i="3"/>
  <c r="I52" i="3"/>
  <c r="E52" i="3"/>
  <c r="K52" i="3"/>
  <c r="G52" i="3"/>
  <c r="C52" i="3"/>
  <c r="F52" i="3"/>
  <c r="J52" i="3"/>
  <c r="B52" i="3"/>
  <c r="L52" i="3"/>
  <c r="H52" i="3"/>
  <c r="D52" i="3"/>
  <c r="K31" i="3"/>
  <c r="G31" i="3"/>
  <c r="C31" i="3"/>
  <c r="M31" i="3"/>
  <c r="I31" i="3"/>
  <c r="E31" i="3"/>
  <c r="H31" i="3"/>
  <c r="F31" i="3"/>
  <c r="L31" i="3"/>
  <c r="D31" i="3"/>
  <c r="J31" i="3"/>
  <c r="B31" i="3"/>
  <c r="K19" i="3"/>
  <c r="G19" i="3"/>
  <c r="C19" i="3"/>
  <c r="M19" i="3"/>
  <c r="I19" i="3"/>
  <c r="E19" i="3"/>
  <c r="L19" i="3"/>
  <c r="D19" i="3"/>
  <c r="J19" i="3"/>
  <c r="B19" i="3"/>
  <c r="H19" i="3"/>
  <c r="F19" i="3"/>
  <c r="K44" i="3"/>
  <c r="G44" i="3"/>
  <c r="C44" i="3"/>
  <c r="I44" i="3"/>
  <c r="D44" i="3"/>
  <c r="L44" i="3"/>
  <c r="F44" i="3"/>
  <c r="J44" i="3"/>
  <c r="H44" i="3"/>
  <c r="E44" i="3"/>
  <c r="M44" i="3"/>
  <c r="B44" i="3"/>
  <c r="I12" i="3" l="1"/>
  <c r="B7" i="3"/>
  <c r="E7" i="3"/>
  <c r="H7" i="3"/>
  <c r="J11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C10" authorId="0" shapeId="0" xr:uid="{00000000-0006-0000-0000-000001000000}">
      <text>
        <r>
          <rPr>
            <sz val="10"/>
            <rFont val="Arial"/>
            <family val="2"/>
          </rPr>
          <t>10</t>
        </r>
        <r>
          <rPr>
            <sz val="10"/>
            <rFont val="Noto Sans CJK SC"/>
            <family val="2"/>
          </rPr>
          <t>〜</t>
        </r>
        <r>
          <rPr>
            <sz val="10"/>
            <rFont val="Arial"/>
            <family val="2"/>
          </rPr>
          <t>18</t>
        </r>
        <r>
          <rPr>
            <sz val="10"/>
            <rFont val="Noto Sans CJK SC"/>
            <family val="2"/>
          </rPr>
          <t>行目はサンプルです。使い始める前に水色の欄の内容を消すか、自社の食材に書き換えてください。食材コードは重複しないようにします。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C10" authorId="0" shapeId="0" xr:uid="{00000000-0006-0000-0100-000001000000}">
      <text>
        <r>
          <rPr>
            <sz val="10"/>
            <rFont val="Arial"/>
            <family val="2"/>
          </rPr>
          <t>10</t>
        </r>
        <r>
          <rPr>
            <sz val="10"/>
            <rFont val="Noto Sans CJK SC"/>
            <family val="2"/>
          </rPr>
          <t>〜</t>
        </r>
        <r>
          <rPr>
            <sz val="10"/>
            <rFont val="Arial"/>
            <family val="2"/>
          </rPr>
          <t>29</t>
        </r>
        <r>
          <rPr>
            <sz val="10"/>
            <rFont val="Noto Sans CJK SC"/>
            <family val="2"/>
          </rPr>
          <t>行目はサンプルです。使い始める前に水色の欄の内容を消してください。</t>
        </r>
      </text>
    </comment>
  </commentList>
</comments>
</file>

<file path=xl/sharedStrings.xml><?xml version="1.0" encoding="utf-8"?>
<sst xmlns="http://schemas.openxmlformats.org/spreadsheetml/2006/main" count="336" uniqueCount="185">
  <si>
    <t>食品・材料在庫管理表</t>
  </si>
  <si>
    <t>登録品目数</t>
  </si>
  <si>
    <t>在庫金額合計</t>
  </si>
  <si>
    <t>要発注</t>
  </si>
  <si>
    <t>欠品</t>
  </si>
  <si>
    <t>期限切れ</t>
  </si>
  <si>
    <t>期限間近</t>
  </si>
  <si>
    <t>今月の廃棄金額</t>
  </si>
  <si>
    <t>No</t>
  </si>
  <si>
    <t>食材コード</t>
  </si>
  <si>
    <t>食材名</t>
  </si>
  <si>
    <t>規格・産地</t>
  </si>
  <si>
    <t>分類</t>
  </si>
  <si>
    <t>保存区分</t>
  </si>
  <si>
    <t>単位</t>
  </si>
  <si>
    <t>保管場所</t>
  </si>
  <si>
    <t>仕入先</t>
  </si>
  <si>
    <t>単価（円）</t>
  </si>
  <si>
    <t>入庫累計</t>
  </si>
  <si>
    <t>出庫累計</t>
  </si>
  <si>
    <t>廃棄累計</t>
  </si>
  <si>
    <t>棚卸調整</t>
  </si>
  <si>
    <t>現在庫</t>
  </si>
  <si>
    <t>在庫金額（円）</t>
  </si>
  <si>
    <t>発注点</t>
  </si>
  <si>
    <t>発注ロット</t>
  </si>
  <si>
    <t>在庫状態</t>
  </si>
  <si>
    <t>推奨発注数</t>
  </si>
  <si>
    <t>最短期限</t>
  </si>
  <si>
    <t>期限状態</t>
  </si>
  <si>
    <t>アレルゲン</t>
  </si>
  <si>
    <t>備考</t>
  </si>
  <si>
    <t>MT-001</t>
  </si>
  <si>
    <t>鶏もも肉</t>
  </si>
  <si>
    <t>国産 皮付き</t>
  </si>
  <si>
    <t>肉類</t>
  </si>
  <si>
    <t>冷蔵</t>
  </si>
  <si>
    <t>kg</t>
  </si>
  <si>
    <r>
      <rPr>
        <sz val="9"/>
        <color rgb="FF222222"/>
        <rFont val="Noto Sans CJK SC"/>
        <family val="2"/>
      </rPr>
      <t>冷蔵庫</t>
    </r>
    <r>
      <rPr>
        <sz val="9"/>
        <color rgb="FF222222"/>
        <rFont val="Meiryo UI"/>
        <family val="3"/>
        <charset val="128"/>
      </rPr>
      <t>1</t>
    </r>
  </si>
  <si>
    <t>○○精肉</t>
  </si>
  <si>
    <t>－</t>
  </si>
  <si>
    <t>FS-001</t>
  </si>
  <si>
    <t>サーモン切身</t>
  </si>
  <si>
    <r>
      <rPr>
        <sz val="9"/>
        <color rgb="FF222222"/>
        <rFont val="Noto Sans CJK SC"/>
        <family val="2"/>
      </rPr>
      <t xml:space="preserve">ノルウェー産 </t>
    </r>
    <r>
      <rPr>
        <sz val="9"/>
        <color rgb="FF222222"/>
        <rFont val="Meiryo UI"/>
        <family val="3"/>
        <charset val="128"/>
      </rPr>
      <t>80g</t>
    </r>
  </si>
  <si>
    <t>魚介類</t>
  </si>
  <si>
    <t>冷凍</t>
  </si>
  <si>
    <t>冷凍庫</t>
  </si>
  <si>
    <t>○○水産</t>
  </si>
  <si>
    <t>さけ</t>
  </si>
  <si>
    <t>VG-001</t>
  </si>
  <si>
    <t>玉ねぎ</t>
  </si>
  <si>
    <r>
      <rPr>
        <sz val="9"/>
        <color rgb="FF222222"/>
        <rFont val="Noto Sans CJK SC"/>
        <family val="2"/>
      </rPr>
      <t xml:space="preserve">北海道産 </t>
    </r>
    <r>
      <rPr>
        <sz val="9"/>
        <color rgb="FF222222"/>
        <rFont val="Meiryo UI"/>
        <family val="3"/>
        <charset val="128"/>
      </rPr>
      <t>L</t>
    </r>
  </si>
  <si>
    <t>野菜・果物</t>
  </si>
  <si>
    <t>常温</t>
  </si>
  <si>
    <r>
      <rPr>
        <sz val="9"/>
        <color rgb="FF222222"/>
        <rFont val="Noto Sans CJK SC"/>
        <family val="2"/>
      </rPr>
      <t>常温棚</t>
    </r>
    <r>
      <rPr>
        <sz val="9"/>
        <color rgb="FF222222"/>
        <rFont val="Meiryo UI"/>
        <family val="3"/>
        <charset val="128"/>
      </rPr>
      <t>A</t>
    </r>
  </si>
  <si>
    <t>○○青果</t>
  </si>
  <si>
    <t>VG-002</t>
  </si>
  <si>
    <t>キャベツ</t>
  </si>
  <si>
    <t>国産</t>
  </si>
  <si>
    <t>個</t>
  </si>
  <si>
    <r>
      <rPr>
        <sz val="9"/>
        <color rgb="FF222222"/>
        <rFont val="Noto Sans CJK SC"/>
        <family val="2"/>
      </rPr>
      <t>冷蔵庫</t>
    </r>
    <r>
      <rPr>
        <sz val="9"/>
        <color rgb="FF222222"/>
        <rFont val="Meiryo UI"/>
        <family val="3"/>
        <charset val="128"/>
      </rPr>
      <t>2</t>
    </r>
  </si>
  <si>
    <t>DY-001</t>
  </si>
  <si>
    <t>牛乳</t>
  </si>
  <si>
    <r>
      <rPr>
        <sz val="9"/>
        <color rgb="FF222222"/>
        <rFont val="Meiryo UI"/>
        <family val="3"/>
        <charset val="128"/>
      </rPr>
      <t xml:space="preserve">1L </t>
    </r>
    <r>
      <rPr>
        <sz val="9"/>
        <color rgb="FF222222"/>
        <rFont val="Noto Sans CJK SC"/>
        <family val="2"/>
      </rPr>
      <t>成分無調整</t>
    </r>
  </si>
  <si>
    <t>乳製品・卵</t>
  </si>
  <si>
    <t>本</t>
  </si>
  <si>
    <t>○○乳業</t>
  </si>
  <si>
    <t>乳</t>
  </si>
  <si>
    <t>DY-002</t>
  </si>
  <si>
    <t>鶏卵</t>
  </si>
  <si>
    <r>
      <rPr>
        <sz val="9"/>
        <color rgb="FF222222"/>
        <rFont val="Meiryo UI"/>
        <family val="3"/>
        <charset val="128"/>
      </rPr>
      <t>M 10</t>
    </r>
    <r>
      <rPr>
        <sz val="9"/>
        <color rgb="FF222222"/>
        <rFont val="Noto Sans CJK SC"/>
        <family val="2"/>
      </rPr>
      <t>個入</t>
    </r>
  </si>
  <si>
    <t>パック</t>
  </si>
  <si>
    <t>○○養鶏</t>
  </si>
  <si>
    <t>卵</t>
  </si>
  <si>
    <t>SE-001</t>
  </si>
  <si>
    <t>濃口醤油</t>
  </si>
  <si>
    <t>1.8L</t>
  </si>
  <si>
    <t>調味料</t>
  </si>
  <si>
    <r>
      <rPr>
        <sz val="9"/>
        <color rgb="FF222222"/>
        <rFont val="Noto Sans CJK SC"/>
        <family val="2"/>
      </rPr>
      <t>常温棚</t>
    </r>
    <r>
      <rPr>
        <sz val="9"/>
        <color rgb="FF222222"/>
        <rFont val="Meiryo UI"/>
        <family val="3"/>
        <charset val="128"/>
      </rPr>
      <t>B</t>
    </r>
  </si>
  <si>
    <t>○○醸造</t>
  </si>
  <si>
    <t>小麦・大豆</t>
  </si>
  <si>
    <t>PW-001</t>
  </si>
  <si>
    <t>薄力粉</t>
  </si>
  <si>
    <t>1kg</t>
  </si>
  <si>
    <t>粉・乾物</t>
  </si>
  <si>
    <t>袋</t>
  </si>
  <si>
    <t>○○製粉</t>
  </si>
  <si>
    <t>小麦</t>
  </si>
  <si>
    <t>PK-001</t>
  </si>
  <si>
    <t>テイクアウト容器</t>
  </si>
  <si>
    <t>中 蓋付き</t>
  </si>
  <si>
    <t>包材・消耗品</t>
  </si>
  <si>
    <t>倉庫</t>
  </si>
  <si>
    <t>○○包材</t>
  </si>
  <si>
    <t>入出庫履歴</t>
  </si>
  <si>
    <t>登録件数</t>
  </si>
  <si>
    <t>今月の入庫金額</t>
  </si>
  <si>
    <t>今月の出庫金額</t>
  </si>
  <si>
    <t>要確認の行</t>
  </si>
  <si>
    <t>日付</t>
  </si>
  <si>
    <t>区分</t>
  </si>
  <si>
    <t>数量</t>
  </si>
  <si>
    <t>金額（円）</t>
  </si>
  <si>
    <t>賞味・消費期限（入庫時）</t>
  </si>
  <si>
    <t>入庫ロット</t>
  </si>
  <si>
    <t>対象ロット（出庫・廃棄時）</t>
  </si>
  <si>
    <t>ロット残数</t>
  </si>
  <si>
    <t>期限まで（日）</t>
  </si>
  <si>
    <t>入力チェック</t>
  </si>
  <si>
    <t>担当者</t>
  </si>
  <si>
    <t>用途・入荷元</t>
  </si>
  <si>
    <t>入庫</t>
  </si>
  <si>
    <t>高橋</t>
  </si>
  <si>
    <t>出庫</t>
  </si>
  <si>
    <t>MT-001-0005</t>
  </si>
  <si>
    <t>佐藤</t>
  </si>
  <si>
    <t>ランチ仕込み</t>
  </si>
  <si>
    <t>FS-001-0004</t>
  </si>
  <si>
    <t>ディナー仕込み</t>
  </si>
  <si>
    <t>MT-001-0011</t>
  </si>
  <si>
    <t>VG-001-0006</t>
  </si>
  <si>
    <t>鈴木</t>
  </si>
  <si>
    <t>カレー仕込み</t>
  </si>
  <si>
    <t>廃棄</t>
  </si>
  <si>
    <t>VG-002-0010</t>
  </si>
  <si>
    <t>外葉の傷み</t>
  </si>
  <si>
    <t>DY-001-0012</t>
  </si>
  <si>
    <t>田中</t>
  </si>
  <si>
    <t>デザート仕込み</t>
  </si>
  <si>
    <t>DY-002-0007</t>
  </si>
  <si>
    <t>モーニング</t>
  </si>
  <si>
    <t>PK-001-0001</t>
  </si>
  <si>
    <t>伊藤</t>
  </si>
  <si>
    <t>テイクアウト</t>
  </si>
  <si>
    <t>SE-001-0002</t>
  </si>
  <si>
    <t>仕込み</t>
  </si>
  <si>
    <t>PW-001-0003</t>
  </si>
  <si>
    <t>期限チェック</t>
  </si>
  <si>
    <t>期限切れロット</t>
  </si>
  <si>
    <t>期限間近ロット</t>
  </si>
  <si>
    <t>対象金額合計</t>
  </si>
  <si>
    <t>#</t>
  </si>
  <si>
    <t>賞味・消費期限</t>
  </si>
  <si>
    <t>残り日数</t>
  </si>
  <si>
    <t>ロット</t>
  </si>
  <si>
    <t>残数</t>
  </si>
  <si>
    <t>発注リスト</t>
  </si>
  <si>
    <t>対象品目</t>
  </si>
  <si>
    <t>発注金額合計（税抜）</t>
  </si>
  <si>
    <t>発注金額（円）</t>
  </si>
  <si>
    <t>状態</t>
  </si>
  <si>
    <t>在庫・廃棄の集計</t>
  </si>
  <si>
    <t>分類別（現在）</t>
  </si>
  <si>
    <t>品目数</t>
  </si>
  <si>
    <t>構成比</t>
  </si>
  <si>
    <t>要発注・欠品</t>
  </si>
  <si>
    <t>期限切れ・間近</t>
  </si>
  <si>
    <t>合計</t>
  </si>
  <si>
    <t>月別の入出庫・廃棄</t>
  </si>
  <si>
    <t>集計開始月</t>
  </si>
  <si>
    <r>
      <rPr>
        <sz val="9"/>
        <color rgb="FF666666"/>
        <rFont val="Noto Sans CJK SC"/>
        <family val="2"/>
      </rPr>
      <t>ここから</t>
    </r>
    <r>
      <rPr>
        <sz val="9"/>
        <color rgb="FF666666"/>
        <rFont val="Meiryo UI"/>
        <family val="3"/>
        <charset val="128"/>
      </rPr>
      <t>12</t>
    </r>
    <r>
      <rPr>
        <sz val="9"/>
        <color rgb="FF666666"/>
        <rFont val="Noto Sans CJK SC"/>
        <family val="2"/>
      </rPr>
      <t>か月分（日付で分類）。廃棄率＝廃棄金額</t>
    </r>
    <r>
      <rPr>
        <sz val="9"/>
        <color rgb="FF666666"/>
        <rFont val="Meiryo UI"/>
        <family val="3"/>
        <charset val="128"/>
      </rPr>
      <t>÷</t>
    </r>
    <r>
      <rPr>
        <sz val="9"/>
        <color rgb="FF666666"/>
        <rFont val="Noto Sans CJK SC"/>
        <family val="2"/>
      </rPr>
      <t>（出庫金額＋廃棄金額）</t>
    </r>
  </si>
  <si>
    <t>月</t>
  </si>
  <si>
    <t>入庫金額（円）</t>
  </si>
  <si>
    <t>出庫金額（円）</t>
  </si>
  <si>
    <t>廃棄金額（円）</t>
  </si>
  <si>
    <t>廃棄件数</t>
  </si>
  <si>
    <t>廃棄率</t>
  </si>
  <si>
    <t>設定</t>
  </si>
  <si>
    <t>期限間近の日数</t>
  </si>
  <si>
    <t>期限までの日数がこの日数以内になると「期限間近」として表示します</t>
  </si>
  <si>
    <r>
      <rPr>
        <sz val="9"/>
        <color rgb="FF666666"/>
        <rFont val="Noto Sans CJK SC"/>
        <family val="2"/>
      </rPr>
      <t>各一覧は空欄に追記できます（最大</t>
    </r>
    <r>
      <rPr>
        <sz val="9"/>
        <color rgb="FF666666"/>
        <rFont val="Meiryo UI"/>
        <family val="3"/>
        <charset val="128"/>
      </rPr>
      <t>20</t>
    </r>
    <r>
      <rPr>
        <sz val="9"/>
        <color rgb="FF666666"/>
        <rFont val="Noto Sans CJK SC"/>
        <family val="2"/>
      </rPr>
      <t>件）。名称を変えると入力済みの表記とずれるので注意してください。</t>
    </r>
  </si>
  <si>
    <t>入出庫区分（固定）</t>
  </si>
  <si>
    <t>g</t>
  </si>
  <si>
    <t>L</t>
  </si>
  <si>
    <t>ml</t>
  </si>
  <si>
    <t>冷凍食品</t>
  </si>
  <si>
    <t>飲料</t>
  </si>
  <si>
    <t>缶</t>
  </si>
  <si>
    <t>箱</t>
  </si>
  <si>
    <t>枚</t>
  </si>
  <si>
    <t>水色の欄に食材を登録します。入庫・出庫・廃棄は「入出庫履歴」に記録すると、現在庫・在庫金額・期限が自動で更新されます。期限が近いロットは「期限チェック」、発注が必要な食材は「発注リスト」に自動で並びます。</t>
    <phoneticPr fontId="17"/>
  </si>
  <si>
    <t>他にも魅力的な情報がたっぷり！テンプレート倉庫</t>
    <phoneticPr fontId="17"/>
  </si>
  <si>
    <t>入庫するときは賞味・消費期限を入れると、入庫ロットが自動で付きます。出庫・廃棄のときは「対象ロット」をプルダウンから選ぶと、そのロットの残数が減り、期限管理ができます（古いロットから使う＝先入れ先出し）。</t>
    <phoneticPr fontId="17"/>
  </si>
  <si>
    <r>
      <t>残数があるロットのうち、期限切れ・期限間近（設定の日数以内）のものが自動で並びます（最大</t>
    </r>
    <r>
      <rPr>
        <b/>
        <sz val="9"/>
        <color rgb="FFFF0000"/>
        <rFont val="Meiryo UI"/>
        <family val="3"/>
        <charset val="128"/>
      </rPr>
      <t>50</t>
    </r>
    <r>
      <rPr>
        <b/>
        <sz val="9"/>
        <color rgb="FFFF0000"/>
        <rFont val="Noto Sans CJK SC"/>
        <family val="2"/>
      </rPr>
      <t>件）。古い順に使い切るか、廃棄として記録してください。</t>
    </r>
  </si>
  <si>
    <r>
      <t>「要発注」「欠品」「在庫異常」の食材が自動で並びます（最大</t>
    </r>
    <r>
      <rPr>
        <b/>
        <sz val="9"/>
        <color rgb="FFFF0000"/>
        <rFont val="Meiryo UI"/>
        <family val="3"/>
        <charset val="128"/>
      </rPr>
      <t>50</t>
    </r>
    <r>
      <rPr>
        <b/>
        <sz val="9"/>
        <color rgb="FFFF0000"/>
        <rFont val="Noto Sans CJK SC"/>
        <family val="2"/>
      </rPr>
      <t>品目）。推奨発注数は、発注点を上回るように発注ロット単位で切り上げた数です。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</si>
</sst>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,##0&quot;品目&quot;"/>
    <numFmt numFmtId="177" formatCode="\¥#,##0"/>
    <numFmt numFmtId="178" formatCode="#,##0;[Red]\-#,##0;\-"/>
    <numFmt numFmtId="179" formatCode="\+General;[Red]\-General;\-"/>
    <numFmt numFmtId="180" formatCode="yyyy/mm/dd"/>
    <numFmt numFmtId="181" formatCode="#,##0&quot;件&quot;"/>
    <numFmt numFmtId="182" formatCode="0;[Red]\-0"/>
    <numFmt numFmtId="183" formatCode="0.0%"/>
    <numFmt numFmtId="184" formatCode="0&quot;日&quot;"/>
  </numFmts>
  <fonts count="23"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8"/>
      <color rgb="FF2F3E2E"/>
      <name val="Noto Sans CJK SC"/>
      <family val="2"/>
    </font>
    <font>
      <b/>
      <sz val="9"/>
      <color rgb="FFFFFFFF"/>
      <name val="Noto Sans CJK SC"/>
      <family val="2"/>
    </font>
    <font>
      <sz val="8"/>
      <color rgb="FF555555"/>
      <name val="Noto Sans CJK SC"/>
      <family val="2"/>
    </font>
    <font>
      <b/>
      <sz val="13"/>
      <color rgb="FF2F3E2E"/>
      <name val="Meiryo UI"/>
      <family val="3"/>
      <charset val="128"/>
    </font>
    <font>
      <b/>
      <sz val="9"/>
      <color rgb="FFFFFFFF"/>
      <name val="Meiryo UI"/>
      <family val="3"/>
      <charset val="128"/>
    </font>
    <font>
      <sz val="9"/>
      <color rgb="FF222222"/>
      <name val="Meiryo UI"/>
      <family val="3"/>
      <charset val="128"/>
    </font>
    <font>
      <sz val="9"/>
      <color rgb="FF222222"/>
      <name val="Noto Sans CJK SC"/>
      <family val="2"/>
    </font>
    <font>
      <sz val="10"/>
      <name val="Noto Sans CJK SC"/>
      <family val="2"/>
    </font>
    <font>
      <b/>
      <sz val="16"/>
      <color rgb="FF2F3E2E"/>
      <name val="Noto Sans CJK SC"/>
      <family val="2"/>
    </font>
    <font>
      <b/>
      <sz val="12"/>
      <color rgb="FF2F3E2E"/>
      <name val="Noto Sans CJK SC"/>
      <family val="2"/>
    </font>
    <font>
      <b/>
      <sz val="9"/>
      <color rgb="FF222222"/>
      <name val="Noto Sans CJK SC"/>
      <family val="2"/>
    </font>
    <font>
      <b/>
      <sz val="9"/>
      <color rgb="FF222222"/>
      <name val="Meiryo UI"/>
      <family val="3"/>
      <charset val="128"/>
    </font>
    <font>
      <b/>
      <sz val="10"/>
      <color rgb="FF222222"/>
      <name val="Noto Sans CJK SC"/>
      <family val="2"/>
    </font>
    <font>
      <sz val="9"/>
      <color rgb="FF666666"/>
      <name val="Noto Sans CJK SC"/>
      <family val="2"/>
    </font>
    <font>
      <sz val="9"/>
      <color rgb="FF666666"/>
      <name val="Meiryo UI"/>
      <family val="3"/>
      <charset val="128"/>
    </font>
    <font>
      <sz val="6"/>
      <name val="ＭＳ Ｐゴシック"/>
      <family val="3"/>
      <charset val="128"/>
    </font>
    <font>
      <b/>
      <sz val="9"/>
      <color rgb="FFFF0000"/>
      <name val="Meiryo UI"/>
      <family val="3"/>
      <charset val="128"/>
    </font>
    <font>
      <u/>
      <sz val="11"/>
      <color theme="10"/>
      <name val="Calibri"/>
      <family val="2"/>
      <charset val="1"/>
    </font>
    <font>
      <b/>
      <u/>
      <sz val="22"/>
      <color rgb="FF2F75B5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9"/>
      <color rgb="FFFF0000"/>
      <name val="Noto Sans CJK SC"/>
      <family val="2"/>
    </font>
  </fonts>
  <fills count="6">
    <fill>
      <patternFill patternType="none"/>
    </fill>
    <fill>
      <patternFill patternType="gray125"/>
    </fill>
    <fill>
      <patternFill patternType="solid">
        <fgColor rgb="FFB4632B"/>
        <bgColor rgb="FF8A5A00"/>
      </patternFill>
    </fill>
    <fill>
      <patternFill patternType="solid">
        <fgColor rgb="FF2F3E2E"/>
        <bgColor rgb="FF243B53"/>
      </patternFill>
    </fill>
    <fill>
      <patternFill patternType="solid">
        <fgColor rgb="FFF5F6F8"/>
        <bgColor rgb="FFFFFFFF"/>
      </patternFill>
    </fill>
    <fill>
      <patternFill patternType="solid">
        <fgColor rgb="FFE3F1FB"/>
        <bgColor rgb="FFE8EEF6"/>
      </patternFill>
    </fill>
  </fills>
  <borders count="3">
    <border>
      <left/>
      <right/>
      <top/>
      <bottom/>
      <diagonal/>
    </border>
    <border>
      <left style="thin">
        <color rgb="FFC9D2DC"/>
      </left>
      <right style="thin">
        <color rgb="FFC9D2DC"/>
      </right>
      <top style="thin">
        <color rgb="FFC9D2DC"/>
      </top>
      <bottom style="thin">
        <color rgb="FFC9D2DC"/>
      </bottom>
      <diagonal/>
    </border>
    <border>
      <left/>
      <right/>
      <top/>
      <bottom style="thin">
        <color rgb="FFC9D2DC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57">
    <xf numFmtId="0" fontId="0" fillId="0" borderId="0" xfId="0"/>
    <xf numFmtId="181" fontId="5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center"/>
    </xf>
    <xf numFmtId="0" fontId="8" fillId="5" borderId="1" xfId="0" applyFont="1" applyFill="1" applyBorder="1" applyAlignment="1">
      <alignment horizontal="center" vertical="center" wrapText="1"/>
    </xf>
    <xf numFmtId="178" fontId="7" fillId="5" borderId="1" xfId="0" applyNumberFormat="1" applyFont="1" applyFill="1" applyBorder="1" applyAlignment="1">
      <alignment horizontal="right" vertical="center"/>
    </xf>
    <xf numFmtId="0" fontId="7" fillId="4" borderId="1" xfId="0" applyFont="1" applyFill="1" applyBorder="1" applyAlignment="1">
      <alignment horizontal="right" vertical="center"/>
    </xf>
    <xf numFmtId="179" fontId="7" fillId="4" borderId="1" xfId="0" applyNumberFormat="1" applyFont="1" applyFill="1" applyBorder="1" applyAlignment="1">
      <alignment horizontal="right" vertical="center"/>
    </xf>
    <xf numFmtId="178" fontId="7" fillId="4" borderId="1" xfId="0" applyNumberFormat="1" applyFont="1" applyFill="1" applyBorder="1" applyAlignment="1">
      <alignment horizontal="right" vertical="center"/>
    </xf>
    <xf numFmtId="0" fontId="7" fillId="5" borderId="1" xfId="0" applyFont="1" applyFill="1" applyBorder="1" applyAlignment="1">
      <alignment horizontal="right" vertical="center"/>
    </xf>
    <xf numFmtId="0" fontId="8" fillId="4" borderId="1" xfId="0" applyFont="1" applyFill="1" applyBorder="1" applyAlignment="1">
      <alignment horizontal="center" vertical="center" wrapText="1"/>
    </xf>
    <xf numFmtId="180" fontId="7" fillId="4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/>
    </xf>
    <xf numFmtId="180" fontId="7" fillId="5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/>
    </xf>
    <xf numFmtId="182" fontId="7" fillId="4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80" fontId="7" fillId="0" borderId="1" xfId="0" applyNumberFormat="1" applyFont="1" applyBorder="1" applyAlignment="1">
      <alignment horizontal="center" vertical="center" wrapText="1"/>
    </xf>
    <xf numFmtId="182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178" fontId="7" fillId="0" borderId="1" xfId="0" applyNumberFormat="1" applyFont="1" applyBorder="1" applyAlignment="1">
      <alignment horizontal="right" vertical="center"/>
    </xf>
    <xf numFmtId="0" fontId="10" fillId="0" borderId="0" xfId="0" applyFont="1"/>
    <xf numFmtId="0" fontId="11" fillId="0" borderId="0" xfId="0" applyFont="1"/>
    <xf numFmtId="49" fontId="7" fillId="0" borderId="1" xfId="0" applyNumberFormat="1" applyFont="1" applyBorder="1" applyAlignment="1">
      <alignment horizontal="left" vertical="center"/>
    </xf>
    <xf numFmtId="3" fontId="7" fillId="0" borderId="1" xfId="0" applyNumberFormat="1" applyFont="1" applyBorder="1" applyAlignment="1">
      <alignment horizontal="center" vertical="center" wrapText="1"/>
    </xf>
    <xf numFmtId="183" fontId="7" fillId="0" borderId="1" xfId="0" applyNumberFormat="1" applyFont="1" applyBorder="1" applyAlignment="1">
      <alignment horizontal="center" vertical="center" wrapText="1"/>
    </xf>
    <xf numFmtId="49" fontId="12" fillId="4" borderId="1" xfId="0" applyNumberFormat="1" applyFont="1" applyFill="1" applyBorder="1" applyAlignment="1">
      <alignment horizontal="left" vertical="center"/>
    </xf>
    <xf numFmtId="3" fontId="13" fillId="4" borderId="1" xfId="0" applyNumberFormat="1" applyFont="1" applyFill="1" applyBorder="1" applyAlignment="1">
      <alignment horizontal="center" vertical="center" wrapText="1"/>
    </xf>
    <xf numFmtId="178" fontId="13" fillId="4" borderId="1" xfId="0" applyNumberFormat="1" applyFont="1" applyFill="1" applyBorder="1" applyAlignment="1">
      <alignment horizontal="right" vertical="center"/>
    </xf>
    <xf numFmtId="183" fontId="13" fillId="4" borderId="1" xfId="0" applyNumberFormat="1" applyFont="1" applyFill="1" applyBorder="1" applyAlignment="1">
      <alignment horizontal="center" vertical="center" wrapText="1"/>
    </xf>
    <xf numFmtId="0" fontId="14" fillId="0" borderId="0" xfId="0" applyFont="1"/>
    <xf numFmtId="55" fontId="7" fillId="5" borderId="1" xfId="0" applyNumberFormat="1" applyFont="1" applyFill="1" applyBorder="1"/>
    <xf numFmtId="0" fontId="15" fillId="0" borderId="0" xfId="0" applyFont="1"/>
    <xf numFmtId="55" fontId="7" fillId="0" borderId="1" xfId="0" applyNumberFormat="1" applyFont="1" applyBorder="1" applyAlignment="1">
      <alignment horizontal="center" vertical="center" wrapText="1"/>
    </xf>
    <xf numFmtId="49" fontId="12" fillId="4" borderId="1" xfId="0" applyNumberFormat="1" applyFont="1" applyFill="1" applyBorder="1" applyAlignment="1">
      <alignment horizontal="center" vertical="center" wrapText="1"/>
    </xf>
    <xf numFmtId="0" fontId="14" fillId="4" borderId="1" xfId="0" applyFont="1" applyFill="1" applyBorder="1"/>
    <xf numFmtId="184" fontId="7" fillId="5" borderId="1" xfId="0" applyNumberFormat="1" applyFont="1" applyFill="1" applyBorder="1"/>
    <xf numFmtId="0" fontId="8" fillId="5" borderId="1" xfId="0" applyFont="1" applyFill="1" applyBorder="1"/>
    <xf numFmtId="0" fontId="7" fillId="5" borderId="1" xfId="0" applyFont="1" applyFill="1" applyBorder="1"/>
    <xf numFmtId="0" fontId="8" fillId="4" borderId="1" xfId="0" applyFont="1" applyFill="1" applyBorder="1"/>
    <xf numFmtId="0" fontId="18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0" fillId="0" borderId="0" xfId="1" applyFont="1" applyAlignment="1">
      <alignment vertical="center"/>
    </xf>
    <xf numFmtId="0" fontId="2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2" fillId="0" borderId="0" xfId="0" applyFont="1" applyAlignment="1">
      <alignment vertical="center"/>
    </xf>
  </cellXfs>
  <cellStyles count="2">
    <cellStyle name="ハイパーリンク" xfId="1" builtinId="8"/>
    <cellStyle name="標準" xfId="0" builtinId="0"/>
  </cellStyles>
  <dxfs count="22">
    <dxf>
      <font>
        <b/>
        <color rgb="FFB42318"/>
      </font>
    </dxf>
    <dxf>
      <font>
        <b/>
        <color rgb="FF7A5A00"/>
      </font>
      <fill>
        <patternFill>
          <bgColor rgb="FFFFE9A8"/>
        </patternFill>
      </fill>
    </dxf>
    <dxf>
      <font>
        <b/>
        <color rgb="FFB42318"/>
      </font>
      <fill>
        <patternFill>
          <bgColor rgb="FFFDE2E1"/>
        </patternFill>
      </fill>
    </dxf>
    <dxf>
      <font>
        <b/>
        <color rgb="FFB42318"/>
      </font>
      <fill>
        <patternFill>
          <bgColor rgb="FFFDE2E1"/>
        </patternFill>
      </fill>
    </dxf>
    <dxf>
      <font>
        <b/>
        <color rgb="FF7A5A00"/>
      </font>
      <fill>
        <patternFill>
          <bgColor rgb="FFFFE9A8"/>
        </patternFill>
      </fill>
    </dxf>
    <dxf>
      <font>
        <b/>
        <color rgb="FFB42318"/>
      </font>
      <fill>
        <patternFill>
          <bgColor rgb="FFFDE2E1"/>
        </patternFill>
      </fill>
    </dxf>
    <dxf>
      <font>
        <b/>
        <color rgb="FFB42318"/>
      </font>
      <fill>
        <patternFill>
          <bgColor rgb="FFFDE2E1"/>
        </patternFill>
      </fill>
    </dxf>
    <dxf>
      <font>
        <b/>
        <color rgb="FF7A5A00"/>
      </font>
      <fill>
        <patternFill>
          <bgColor rgb="FFFFE9A8"/>
        </patternFill>
      </fill>
    </dxf>
    <dxf>
      <font>
        <b/>
        <color rgb="FFB42318"/>
      </font>
      <fill>
        <patternFill>
          <bgColor rgb="FFFDE2E1"/>
        </patternFill>
      </fill>
    </dxf>
    <dxf>
      <font>
        <color rgb="FF9AA3AD"/>
      </font>
    </dxf>
    <dxf>
      <font>
        <b/>
        <color rgb="FF8A5A00"/>
      </font>
      <fill>
        <patternFill>
          <bgColor rgb="FFFFF4D6"/>
        </patternFill>
      </fill>
    </dxf>
    <dxf>
      <font>
        <b/>
        <color rgb="FFB42318"/>
      </font>
      <fill>
        <patternFill>
          <bgColor rgb="FFFDE2E1"/>
        </patternFill>
      </fill>
    </dxf>
    <dxf>
      <font>
        <b/>
        <color rgb="FF243B53"/>
      </font>
      <fill>
        <patternFill>
          <bgColor rgb="FFE8EEF6"/>
        </patternFill>
      </fill>
    </dxf>
    <dxf>
      <font>
        <b/>
        <color rgb="FF1E7B45"/>
      </font>
      <fill>
        <patternFill>
          <bgColor rgb="FFE3F4EA"/>
        </patternFill>
      </fill>
    </dxf>
    <dxf>
      <font>
        <b/>
        <color rgb="FF7A5A00"/>
      </font>
      <fill>
        <patternFill>
          <bgColor rgb="FFFFE9A8"/>
        </patternFill>
      </fill>
    </dxf>
    <dxf>
      <font>
        <b/>
        <color rgb="FFB42318"/>
      </font>
      <fill>
        <patternFill>
          <bgColor rgb="FFFDE2E1"/>
        </patternFill>
      </fill>
    </dxf>
    <dxf>
      <font>
        <b/>
        <color rgb="FF1E7B45"/>
      </font>
      <fill>
        <patternFill>
          <bgColor rgb="FFE3F4EA"/>
        </patternFill>
      </fill>
    </dxf>
    <dxf>
      <font>
        <b/>
        <color rgb="FF7A5A00"/>
      </font>
      <fill>
        <patternFill>
          <bgColor rgb="FFFFE9A8"/>
        </patternFill>
      </fill>
    </dxf>
    <dxf>
      <font>
        <b/>
        <color rgb="FFB42318"/>
      </font>
      <fill>
        <patternFill>
          <bgColor rgb="FFFDE2E1"/>
        </patternFill>
      </fill>
    </dxf>
    <dxf>
      <font>
        <b/>
        <color rgb="FFB42318"/>
      </font>
      <fill>
        <patternFill>
          <bgColor rgb="FFFDE2E1"/>
        </patternFill>
      </fill>
    </dxf>
    <dxf>
      <font>
        <b/>
        <color rgb="FF2E7D7A"/>
      </font>
    </dxf>
    <dxf>
      <font>
        <b/>
        <color rgb="FF1F5FA8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A5A00"/>
      <rgbColor rgb="FF800080"/>
      <rgbColor rgb="FF1E7B45"/>
      <rgbColor rgb="FFF5F6F8"/>
      <rgbColor rgb="FF808080"/>
      <rgbColor rgb="FF9999FF"/>
      <rgbColor rgb="FF8A5A00"/>
      <rgbColor rgb="FFFFF4D6"/>
      <rgbColor rgb="FFE3F1FB"/>
      <rgbColor rgb="FF660066"/>
      <rgbColor rgb="FFFF8080"/>
      <rgbColor rgb="FF1F5FA8"/>
      <rgbColor rgb="FFC9D2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3F4EA"/>
      <rgbColor rgb="FFE8EEF6"/>
      <rgbColor rgb="FFFFE9A8"/>
      <rgbColor rgb="FF99CCFF"/>
      <rgbColor rgb="FFFF99CC"/>
      <rgbColor rgb="FFCC99FF"/>
      <rgbColor rgb="FFFDE2E1"/>
      <rgbColor rgb="FF3366FF"/>
      <rgbColor rgb="FF33CCCC"/>
      <rgbColor rgb="FF99CC00"/>
      <rgbColor rgb="FFFFCC00"/>
      <rgbColor rgb="FFFF9900"/>
      <rgbColor rgb="FFB4632B"/>
      <rgbColor rgb="FF666666"/>
      <rgbColor rgb="FF9AA3AD"/>
      <rgbColor rgb="FF243B53"/>
      <rgbColor rgb="FF2E7D7A"/>
      <rgbColor rgb="FF003300"/>
      <rgbColor rgb="FF222222"/>
      <rgbColor rgb="FFB42318"/>
      <rgbColor rgb="FF993366"/>
      <rgbColor rgb="FF555555"/>
      <rgbColor rgb="FF2F3E2E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emplate-soko.com/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template-soko.com/" TargetMode="External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template-soko.com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template-soko.com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template-soko.com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template-sok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I309"/>
  <sheetViews>
    <sheetView showGridLines="0" tabSelected="1" zoomScaleNormal="100" workbookViewId="0"/>
  </sheetViews>
  <sheetFormatPr defaultColWidth="8.7109375" defaultRowHeight="15"/>
  <cols>
    <col min="1" max="1" width="2" customWidth="1"/>
    <col min="2" max="2" width="5" customWidth="1"/>
    <col min="3" max="3" width="10" customWidth="1"/>
    <col min="4" max="4" width="16" customWidth="1"/>
    <col min="5" max="5" width="15" customWidth="1"/>
    <col min="6" max="6" width="10" customWidth="1"/>
    <col min="7" max="7" width="7" customWidth="1"/>
    <col min="8" max="8" width="6" customWidth="1"/>
    <col min="9" max="9" width="8" customWidth="1"/>
    <col min="10" max="10" width="12" customWidth="1"/>
    <col min="11" max="11" width="8" customWidth="1"/>
    <col min="12" max="16" width="7" customWidth="1"/>
    <col min="17" max="17" width="10" customWidth="1"/>
    <col min="18" max="19" width="7" customWidth="1"/>
    <col min="20" max="20" width="8" customWidth="1"/>
    <col min="21" max="21" width="7" customWidth="1"/>
    <col min="22" max="22" width="10.85546875" customWidth="1"/>
    <col min="23" max="23" width="8" customWidth="1"/>
    <col min="24" max="24" width="12" customWidth="1"/>
    <col min="25" max="25" width="16" customWidth="1"/>
    <col min="26" max="26" width="13" hidden="1" customWidth="1"/>
  </cols>
  <sheetData>
    <row r="1" spans="1:35" s="53" customFormat="1" ht="45" customHeight="1">
      <c r="A1" s="52" t="s">
        <v>181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</row>
    <row r="2" spans="1:35" ht="31.5" customHeight="1">
      <c r="B2" s="49" t="s">
        <v>180</v>
      </c>
    </row>
    <row r="3" spans="1:35" ht="10.5" customHeight="1">
      <c r="B3" s="50" t="s">
        <v>0</v>
      </c>
      <c r="C3" s="50"/>
      <c r="D3" s="50"/>
      <c r="E3" s="50"/>
    </row>
    <row r="4" spans="1:35" ht="10.5" customHeight="1">
      <c r="B4" s="50"/>
      <c r="C4" s="50"/>
      <c r="D4" s="50"/>
      <c r="E4" s="50"/>
    </row>
    <row r="5" spans="1:35" ht="10.5" customHeight="1">
      <c r="B5" s="51"/>
      <c r="C5" s="51"/>
      <c r="D5" s="51"/>
      <c r="E5" s="51"/>
    </row>
    <row r="6" spans="1:35" ht="19.5" customHeight="1">
      <c r="B6" s="5" t="s">
        <v>1</v>
      </c>
      <c r="C6" s="5"/>
      <c r="D6" s="5"/>
      <c r="E6" s="5" t="s">
        <v>2</v>
      </c>
      <c r="F6" s="5"/>
      <c r="G6" s="5" t="s">
        <v>3</v>
      </c>
      <c r="H6" s="5"/>
      <c r="I6" s="5" t="s">
        <v>4</v>
      </c>
      <c r="J6" s="5"/>
      <c r="K6" s="5" t="s">
        <v>5</v>
      </c>
      <c r="L6" s="5"/>
      <c r="M6" s="5"/>
      <c r="N6" s="5" t="s">
        <v>6</v>
      </c>
      <c r="O6" s="5"/>
      <c r="P6" s="5"/>
      <c r="Q6" s="5" t="s">
        <v>7</v>
      </c>
      <c r="R6" s="5"/>
      <c r="S6" s="4"/>
      <c r="T6" s="4"/>
      <c r="U6" s="4"/>
      <c r="V6" s="4"/>
      <c r="W6" s="4"/>
      <c r="X6" s="4"/>
      <c r="Y6" s="4"/>
    </row>
    <row r="7" spans="1:35" ht="30" customHeight="1">
      <c r="B7" s="3">
        <f>COUNTA($C$10:$C$309)</f>
        <v>9</v>
      </c>
      <c r="C7" s="3"/>
      <c r="D7" s="3"/>
      <c r="E7" s="2">
        <f>SUM($Q$10:$Q$309)</f>
        <v>24762</v>
      </c>
      <c r="F7" s="2"/>
      <c r="G7" s="3">
        <f>COUNTIF($T$10:$T$309,"要発注")</f>
        <v>3</v>
      </c>
      <c r="H7" s="3"/>
      <c r="I7" s="3">
        <f>COUNTIF($T$10:$T$309,"欠品")</f>
        <v>1</v>
      </c>
      <c r="J7" s="3"/>
      <c r="K7" s="3">
        <f ca="1">COUNTIF($W$10:$W$309,"期限切れ")</f>
        <v>1</v>
      </c>
      <c r="L7" s="3"/>
      <c r="M7" s="3"/>
      <c r="N7" s="3">
        <f ca="1">COUNTIF($W$10:$W$309,"期限間近")</f>
        <v>2</v>
      </c>
      <c r="O7" s="3"/>
      <c r="P7" s="3"/>
      <c r="Q7" s="2">
        <f ca="1">SUMIFS(入出庫履歴!$J$10:$J$1009,入出庫履歴!$D$10:$D$1009,"廃棄",入出庫履歴!$C$10:$C$1009,"&gt;="&amp;EOMONTH(TODAY(),-1)+1,入出庫履歴!$C$10:$C$1009,"&lt;="&amp;EOMONTH(TODAY(),0))</f>
        <v>180</v>
      </c>
      <c r="R7" s="2"/>
      <c r="S7" s="4"/>
      <c r="T7" s="4"/>
      <c r="U7" s="4"/>
      <c r="V7" s="4"/>
      <c r="W7" s="4"/>
      <c r="X7" s="4"/>
      <c r="Y7" s="4"/>
    </row>
    <row r="9" spans="1:35" ht="31.5" customHeight="1">
      <c r="B9" s="6" t="s">
        <v>8</v>
      </c>
      <c r="C9" s="7" t="s">
        <v>9</v>
      </c>
      <c r="D9" s="7" t="s">
        <v>10</v>
      </c>
      <c r="E9" s="7" t="s">
        <v>11</v>
      </c>
      <c r="F9" s="7" t="s">
        <v>12</v>
      </c>
      <c r="G9" s="7" t="s">
        <v>13</v>
      </c>
      <c r="H9" s="7" t="s">
        <v>14</v>
      </c>
      <c r="I9" s="7" t="s">
        <v>15</v>
      </c>
      <c r="J9" s="7" t="s">
        <v>16</v>
      </c>
      <c r="K9" s="7" t="s">
        <v>17</v>
      </c>
      <c r="L9" s="7" t="s">
        <v>18</v>
      </c>
      <c r="M9" s="7" t="s">
        <v>19</v>
      </c>
      <c r="N9" s="7" t="s">
        <v>20</v>
      </c>
      <c r="O9" s="7" t="s">
        <v>21</v>
      </c>
      <c r="P9" s="7" t="s">
        <v>22</v>
      </c>
      <c r="Q9" s="7" t="s">
        <v>23</v>
      </c>
      <c r="R9" s="7" t="s">
        <v>24</v>
      </c>
      <c r="S9" s="7" t="s">
        <v>25</v>
      </c>
      <c r="T9" s="7" t="s">
        <v>26</v>
      </c>
      <c r="U9" s="7" t="s">
        <v>27</v>
      </c>
      <c r="V9" s="7" t="s">
        <v>28</v>
      </c>
      <c r="W9" s="7" t="s">
        <v>29</v>
      </c>
      <c r="X9" s="7" t="s">
        <v>30</v>
      </c>
      <c r="Y9" s="7" t="s">
        <v>31</v>
      </c>
    </row>
    <row r="10" spans="1:35" ht="24">
      <c r="B10" s="8">
        <f>IF(C10="","",COUNTA($C$10:C10))</f>
        <v>1</v>
      </c>
      <c r="C10" s="9" t="s">
        <v>32</v>
      </c>
      <c r="D10" s="10" t="s">
        <v>33</v>
      </c>
      <c r="E10" s="10" t="s">
        <v>34</v>
      </c>
      <c r="F10" s="10" t="s">
        <v>35</v>
      </c>
      <c r="G10" s="11" t="s">
        <v>36</v>
      </c>
      <c r="H10" s="9" t="s">
        <v>37</v>
      </c>
      <c r="I10" s="11" t="s">
        <v>38</v>
      </c>
      <c r="J10" s="10" t="s">
        <v>39</v>
      </c>
      <c r="K10" s="12">
        <v>980</v>
      </c>
      <c r="L10" s="13">
        <f>IF(C10="","",SUMIFS(入出庫履歴!$G$10:$G$1009,入出庫履歴!$E$10:$E$1009,C10,入出庫履歴!$D$10:$D$1009,"入庫"))</f>
        <v>20</v>
      </c>
      <c r="M10" s="13">
        <f>IF(C10="","",SUMIFS(入出庫履歴!$G$10:$G$1009,入出庫履歴!$E$10:$E$1009,C10,入出庫履歴!$D$10:$D$1009,"出庫"))</f>
        <v>12.5</v>
      </c>
      <c r="N10" s="13">
        <f>IF(C10="","",SUMIFS(入出庫履歴!$G$10:$G$1009,入出庫履歴!$E$10:$E$1009,C10,入出庫履歴!$D$10:$D$1009,"廃棄"))</f>
        <v>0</v>
      </c>
      <c r="O10" s="14">
        <f>IF(C10="","",SUMIFS(入出庫履歴!$G$10:$G$1009,入出庫履歴!$E$10:$E$1009,C10,入出庫履歴!$D$10:$D$1009,"棚卸調整"))</f>
        <v>0</v>
      </c>
      <c r="P10" s="13">
        <f t="shared" ref="P10:P73" si="0">IF(C10="","",L10-M10-N10+O10)</f>
        <v>7.5</v>
      </c>
      <c r="Q10" s="15">
        <f t="shared" ref="Q10:Q73" si="1">IF(OR(C10="",K10=""),"",ROUND(P10*K10,0))</f>
        <v>7350</v>
      </c>
      <c r="R10" s="16">
        <v>5</v>
      </c>
      <c r="S10" s="16">
        <v>10</v>
      </c>
      <c r="T10" s="17" t="str">
        <f t="shared" ref="T10:T73" si="2">IF(C10="","",IF(P10&lt;0,"在庫異常",IF(P10=0,"欠品",IF(AND(R10&lt;&gt;"",P10&lt;=R10),"要発注","適正"))))</f>
        <v>適正</v>
      </c>
      <c r="U10" s="13" t="str">
        <f t="shared" ref="U10:U73" si="3">IF(OR(T10="要発注",T10="欠品"),IF(S10&gt;0,CEILING(MAX(R10-P10,0)+S10*0.0001,S10),MAX(R10-P10,0)),"")</f>
        <v/>
      </c>
      <c r="V10" s="18">
        <f>IF(C10="","",IF(_xlfn.MINIFS(入出庫履歴!$K$10:$K$1009,入出庫履歴!$E$10:$E$1009,C10,入出庫履歴!$N$10:$N$1009,"&gt;0")=0,"",_xlfn.MINIFS(入出庫履歴!$K$10:$K$1009,入出庫履歴!$E$10:$E$1009,C10,入出庫履歴!$N$10:$N$1009,"&gt;0")))</f>
        <v>46320</v>
      </c>
      <c r="W10" s="17" t="str">
        <f ca="1">IF(OR(V10="",P10&lt;=0),"",IF(V10&lt;TODAY(),"期限切れ",IF(V10-TODAY()&lt;=設定!$C$4,"期限間近","")))</f>
        <v>期限切れ</v>
      </c>
      <c r="X10" s="10" t="s">
        <v>40</v>
      </c>
      <c r="Y10" s="10"/>
      <c r="Z10" t="str">
        <f>IF(OR(T10="要発注",T10="欠品",T10="在庫異常"),COUNTIF($T$10:T10,"要発注")+COUNTIF($T$10:T10,"欠品")+COUNTIF($T$10:T10,"在庫異常"),"")</f>
        <v/>
      </c>
    </row>
    <row r="11" spans="1:35">
      <c r="B11" s="8">
        <f>IF(C11="","",COUNTA($C$10:C11))</f>
        <v>2</v>
      </c>
      <c r="C11" s="9" t="s">
        <v>41</v>
      </c>
      <c r="D11" s="10" t="s">
        <v>42</v>
      </c>
      <c r="E11" s="10" t="s">
        <v>43</v>
      </c>
      <c r="F11" s="10" t="s">
        <v>44</v>
      </c>
      <c r="G11" s="11" t="s">
        <v>45</v>
      </c>
      <c r="H11" s="9" t="s">
        <v>37</v>
      </c>
      <c r="I11" s="11" t="s">
        <v>46</v>
      </c>
      <c r="J11" s="10" t="s">
        <v>47</v>
      </c>
      <c r="K11" s="12">
        <v>2800</v>
      </c>
      <c r="L11" s="13">
        <f>IF(C11="","",SUMIFS(入出庫履歴!$G$10:$G$1009,入出庫履歴!$E$10:$E$1009,C11,入出庫履歴!$D$10:$D$1009,"入庫"))</f>
        <v>5</v>
      </c>
      <c r="M11" s="13">
        <f>IF(C11="","",SUMIFS(入出庫履歴!$G$10:$G$1009,入出庫履歴!$E$10:$E$1009,C11,入出庫履歴!$D$10:$D$1009,"出庫"))</f>
        <v>3</v>
      </c>
      <c r="N11" s="13">
        <f>IF(C11="","",SUMIFS(入出庫履歴!$G$10:$G$1009,入出庫履歴!$E$10:$E$1009,C11,入出庫履歴!$D$10:$D$1009,"廃棄"))</f>
        <v>0</v>
      </c>
      <c r="O11" s="14">
        <f>IF(C11="","",SUMIFS(入出庫履歴!$G$10:$G$1009,入出庫履歴!$E$10:$E$1009,C11,入出庫履歴!$D$10:$D$1009,"棚卸調整"))</f>
        <v>0</v>
      </c>
      <c r="P11" s="13">
        <f t="shared" si="0"/>
        <v>2</v>
      </c>
      <c r="Q11" s="15">
        <f t="shared" si="1"/>
        <v>5600</v>
      </c>
      <c r="R11" s="16">
        <v>3</v>
      </c>
      <c r="S11" s="16">
        <v>5</v>
      </c>
      <c r="T11" s="17" t="str">
        <f t="shared" si="2"/>
        <v>要発注</v>
      </c>
      <c r="U11" s="13">
        <f t="shared" si="3"/>
        <v>5</v>
      </c>
      <c r="V11" s="18">
        <f>IF(C11="","",IF(_xlfn.MINIFS(入出庫履歴!$K$10:$K$1009,入出庫履歴!$E$10:$E$1009,C11,入出庫履歴!$N$10:$N$1009,"&gt;0")=0,"",_xlfn.MINIFS(入出庫履歴!$K$10:$K$1009,入出庫履歴!$E$10:$E$1009,C11,入出庫履歴!$N$10:$N$1009,"&gt;0")))</f>
        <v>46402</v>
      </c>
      <c r="W11" s="17" t="str">
        <f ca="1">IF(OR(V11="",P11&lt;=0),"",IF(V11&lt;TODAY(),"期限切れ",IF(V11-TODAY()&lt;=設定!$C$4,"期限間近","")))</f>
        <v/>
      </c>
      <c r="X11" s="10" t="s">
        <v>48</v>
      </c>
      <c r="Y11" s="10"/>
      <c r="Z11">
        <f>IF(OR(T11="要発注",T11="欠品",T11="在庫異常"),COUNTIF($T$10:T11,"要発注")+COUNTIF($T$10:T11,"欠品")+COUNTIF($T$10:T11,"在庫異常"),"")</f>
        <v>1</v>
      </c>
    </row>
    <row r="12" spans="1:35">
      <c r="B12" s="8">
        <f>IF(C12="","",COUNTA($C$10:C12))</f>
        <v>3</v>
      </c>
      <c r="C12" s="9" t="s">
        <v>49</v>
      </c>
      <c r="D12" s="10" t="s">
        <v>50</v>
      </c>
      <c r="E12" s="10" t="s">
        <v>51</v>
      </c>
      <c r="F12" s="10" t="s">
        <v>52</v>
      </c>
      <c r="G12" s="11" t="s">
        <v>53</v>
      </c>
      <c r="H12" s="9" t="s">
        <v>37</v>
      </c>
      <c r="I12" s="11" t="s">
        <v>54</v>
      </c>
      <c r="J12" s="10" t="s">
        <v>55</v>
      </c>
      <c r="K12" s="12">
        <v>220</v>
      </c>
      <c r="L12" s="13">
        <f>IF(C12="","",SUMIFS(入出庫履歴!$G$10:$G$1009,入出庫履歴!$E$10:$E$1009,C12,入出庫履歴!$D$10:$D$1009,"入庫"))</f>
        <v>20</v>
      </c>
      <c r="M12" s="13">
        <f>IF(C12="","",SUMIFS(入出庫履歴!$G$10:$G$1009,入出庫履歴!$E$10:$E$1009,C12,入出庫履歴!$D$10:$D$1009,"出庫"))</f>
        <v>12.4</v>
      </c>
      <c r="N12" s="13">
        <f>IF(C12="","",SUMIFS(入出庫履歴!$G$10:$G$1009,入出庫履歴!$E$10:$E$1009,C12,入出庫履歴!$D$10:$D$1009,"廃棄"))</f>
        <v>0</v>
      </c>
      <c r="O12" s="14">
        <f>IF(C12="","",SUMIFS(入出庫履歴!$G$10:$G$1009,入出庫履歴!$E$10:$E$1009,C12,入出庫履歴!$D$10:$D$1009,"棚卸調整"))</f>
        <v>0</v>
      </c>
      <c r="P12" s="13">
        <f t="shared" si="0"/>
        <v>7.6</v>
      </c>
      <c r="Q12" s="15">
        <f t="shared" si="1"/>
        <v>1672</v>
      </c>
      <c r="R12" s="16">
        <v>10</v>
      </c>
      <c r="S12" s="16">
        <v>20</v>
      </c>
      <c r="T12" s="17" t="str">
        <f t="shared" si="2"/>
        <v>要発注</v>
      </c>
      <c r="U12" s="13">
        <f t="shared" si="3"/>
        <v>20</v>
      </c>
      <c r="V12" s="18" t="str">
        <f>IF(C12="","",IF(_xlfn.MINIFS(入出庫履歴!$K$10:$K$1009,入出庫履歴!$E$10:$E$1009,C12,入出庫履歴!$N$10:$N$1009,"&gt;0")=0,"",_xlfn.MINIFS(入出庫履歴!$K$10:$K$1009,入出庫履歴!$E$10:$E$1009,C12,入出庫履歴!$N$10:$N$1009,"&gt;0")))</f>
        <v/>
      </c>
      <c r="W12" s="17" t="str">
        <f ca="1">IF(OR(V12="",P12&lt;=0),"",IF(V12&lt;TODAY(),"期限切れ",IF(V12-TODAY()&lt;=設定!$C$4,"期限間近","")))</f>
        <v/>
      </c>
      <c r="X12" s="10" t="s">
        <v>40</v>
      </c>
      <c r="Y12" s="10"/>
      <c r="Z12">
        <f>IF(OR(T12="要発注",T12="欠品",T12="在庫異常"),COUNTIF($T$10:T12,"要発注")+COUNTIF($T$10:T12,"欠品")+COUNTIF($T$10:T12,"在庫異常"),"")</f>
        <v>2</v>
      </c>
    </row>
    <row r="13" spans="1:35" ht="24">
      <c r="B13" s="8">
        <f>IF(C13="","",COUNTA($C$10:C13))</f>
        <v>4</v>
      </c>
      <c r="C13" s="9" t="s">
        <v>56</v>
      </c>
      <c r="D13" s="10" t="s">
        <v>57</v>
      </c>
      <c r="E13" s="10" t="s">
        <v>58</v>
      </c>
      <c r="F13" s="10" t="s">
        <v>52</v>
      </c>
      <c r="G13" s="11" t="s">
        <v>36</v>
      </c>
      <c r="H13" s="11" t="s">
        <v>59</v>
      </c>
      <c r="I13" s="11" t="s">
        <v>60</v>
      </c>
      <c r="J13" s="10" t="s">
        <v>55</v>
      </c>
      <c r="K13" s="12">
        <v>180</v>
      </c>
      <c r="L13" s="13">
        <f>IF(C13="","",SUMIFS(入出庫履歴!$G$10:$G$1009,入出庫履歴!$E$10:$E$1009,C13,入出庫履歴!$D$10:$D$1009,"入庫"))</f>
        <v>10</v>
      </c>
      <c r="M13" s="13">
        <f>IF(C13="","",SUMIFS(入出庫履歴!$G$10:$G$1009,入出庫履歴!$E$10:$E$1009,C13,入出庫履歴!$D$10:$D$1009,"出庫"))</f>
        <v>0</v>
      </c>
      <c r="N13" s="13">
        <f>IF(C13="","",SUMIFS(入出庫履歴!$G$10:$G$1009,入出庫履歴!$E$10:$E$1009,C13,入出庫履歴!$D$10:$D$1009,"廃棄"))</f>
        <v>1</v>
      </c>
      <c r="O13" s="14">
        <f>IF(C13="","",SUMIFS(入出庫履歴!$G$10:$G$1009,入出庫履歴!$E$10:$E$1009,C13,入出庫履歴!$D$10:$D$1009,"棚卸調整"))</f>
        <v>0</v>
      </c>
      <c r="P13" s="13">
        <f t="shared" si="0"/>
        <v>9</v>
      </c>
      <c r="Q13" s="15">
        <f t="shared" si="1"/>
        <v>1620</v>
      </c>
      <c r="R13" s="16">
        <v>5</v>
      </c>
      <c r="S13" s="16">
        <v>10</v>
      </c>
      <c r="T13" s="17" t="str">
        <f t="shared" si="2"/>
        <v>適正</v>
      </c>
      <c r="U13" s="13" t="str">
        <f t="shared" si="3"/>
        <v/>
      </c>
      <c r="V13" s="18">
        <f>IF(C13="","",IF(_xlfn.MINIFS(入出庫履歴!$K$10:$K$1009,入出庫履歴!$E$10:$E$1009,C13,入出庫履歴!$N$10:$N$1009,"&gt;0")=0,"",_xlfn.MINIFS(入出庫履歴!$K$10:$K$1009,入出庫履歴!$E$10:$E$1009,C13,入出庫履歴!$N$10:$N$1009,"&gt;0")))</f>
        <v>46329</v>
      </c>
      <c r="W13" s="17" t="str">
        <f ca="1">IF(OR(V13="",P13&lt;=0),"",IF(V13&lt;TODAY(),"期限切れ",IF(V13-TODAY()&lt;=設定!$C$4,"期限間近","")))</f>
        <v>期限間近</v>
      </c>
      <c r="X13" s="10" t="s">
        <v>40</v>
      </c>
      <c r="Y13" s="10"/>
      <c r="Z13" t="str">
        <f>IF(OR(T13="要発注",T13="欠品",T13="在庫異常"),COUNTIF($T$10:T13,"要発注")+COUNTIF($T$10:T13,"欠品")+COUNTIF($T$10:T13,"在庫異常"),"")</f>
        <v/>
      </c>
    </row>
    <row r="14" spans="1:35" ht="24">
      <c r="B14" s="8">
        <f>IF(C14="","",COUNTA($C$10:C14))</f>
        <v>5</v>
      </c>
      <c r="C14" s="9" t="s">
        <v>61</v>
      </c>
      <c r="D14" s="10" t="s">
        <v>62</v>
      </c>
      <c r="E14" s="19" t="s">
        <v>63</v>
      </c>
      <c r="F14" s="10" t="s">
        <v>64</v>
      </c>
      <c r="G14" s="11" t="s">
        <v>36</v>
      </c>
      <c r="H14" s="11" t="s">
        <v>65</v>
      </c>
      <c r="I14" s="11" t="s">
        <v>60</v>
      </c>
      <c r="J14" s="10" t="s">
        <v>66</v>
      </c>
      <c r="K14" s="12">
        <v>230</v>
      </c>
      <c r="L14" s="13">
        <f>IF(C14="","",SUMIFS(入出庫履歴!$G$10:$G$1009,入出庫履歴!$E$10:$E$1009,C14,入出庫履歴!$D$10:$D$1009,"入庫"))</f>
        <v>12</v>
      </c>
      <c r="M14" s="13">
        <f>IF(C14="","",SUMIFS(入出庫履歴!$G$10:$G$1009,入出庫履歴!$E$10:$E$1009,C14,入出庫履歴!$D$10:$D$1009,"出庫"))</f>
        <v>6</v>
      </c>
      <c r="N14" s="13">
        <f>IF(C14="","",SUMIFS(入出庫履歴!$G$10:$G$1009,入出庫履歴!$E$10:$E$1009,C14,入出庫履歴!$D$10:$D$1009,"廃棄"))</f>
        <v>0</v>
      </c>
      <c r="O14" s="14">
        <f>IF(C14="","",SUMIFS(入出庫履歴!$G$10:$G$1009,入出庫履歴!$E$10:$E$1009,C14,入出庫履歴!$D$10:$D$1009,"棚卸調整"))</f>
        <v>0</v>
      </c>
      <c r="P14" s="13">
        <f t="shared" si="0"/>
        <v>6</v>
      </c>
      <c r="Q14" s="15">
        <f t="shared" si="1"/>
        <v>1380</v>
      </c>
      <c r="R14" s="16">
        <v>6</v>
      </c>
      <c r="S14" s="16">
        <v>12</v>
      </c>
      <c r="T14" s="17" t="str">
        <f t="shared" si="2"/>
        <v>要発注</v>
      </c>
      <c r="U14" s="13">
        <f t="shared" si="3"/>
        <v>12</v>
      </c>
      <c r="V14" s="18">
        <f>IF(C14="","",IF(_xlfn.MINIFS(入出庫履歴!$K$10:$K$1009,入出庫履歴!$E$10:$E$1009,C14,入出庫履歴!$N$10:$N$1009,"&gt;0")=0,"",_xlfn.MINIFS(入出庫履歴!$K$10:$K$1009,入出庫履歴!$E$10:$E$1009,C14,入出庫履歴!$N$10:$N$1009,"&gt;0")))</f>
        <v>46328</v>
      </c>
      <c r="W14" s="17" t="str">
        <f ca="1">IF(OR(V14="",P14&lt;=0),"",IF(V14&lt;TODAY(),"期限切れ",IF(V14-TODAY()&lt;=設定!$C$4,"期限間近","")))</f>
        <v>期限間近</v>
      </c>
      <c r="X14" s="10" t="s">
        <v>67</v>
      </c>
      <c r="Y14" s="19"/>
      <c r="Z14">
        <f>IF(OR(T14="要発注",T14="欠品",T14="在庫異常"),COUNTIF($T$10:T14,"要発注")+COUNTIF($T$10:T14,"欠品")+COUNTIF($T$10:T14,"在庫異常"),"")</f>
        <v>3</v>
      </c>
    </row>
    <row r="15" spans="1:35">
      <c r="B15" s="8">
        <f>IF(C15="","",COUNTA($C$10:C15))</f>
        <v>6</v>
      </c>
      <c r="C15" s="9" t="s">
        <v>68</v>
      </c>
      <c r="D15" s="10" t="s">
        <v>69</v>
      </c>
      <c r="E15" s="19" t="s">
        <v>70</v>
      </c>
      <c r="F15" s="10" t="s">
        <v>64</v>
      </c>
      <c r="G15" s="11" t="s">
        <v>36</v>
      </c>
      <c r="H15" s="11" t="s">
        <v>71</v>
      </c>
      <c r="I15" s="11" t="s">
        <v>60</v>
      </c>
      <c r="J15" s="10" t="s">
        <v>72</v>
      </c>
      <c r="K15" s="12">
        <v>280</v>
      </c>
      <c r="L15" s="13">
        <f>IF(C15="","",SUMIFS(入出庫履歴!$G$10:$G$1009,入出庫履歴!$E$10:$E$1009,C15,入出庫履歴!$D$10:$D$1009,"入庫"))</f>
        <v>10</v>
      </c>
      <c r="M15" s="13">
        <f>IF(C15="","",SUMIFS(入出庫履歴!$G$10:$G$1009,入出庫履歴!$E$10:$E$1009,C15,入出庫履歴!$D$10:$D$1009,"出庫"))</f>
        <v>10</v>
      </c>
      <c r="N15" s="13">
        <f>IF(C15="","",SUMIFS(入出庫履歴!$G$10:$G$1009,入出庫履歴!$E$10:$E$1009,C15,入出庫履歴!$D$10:$D$1009,"廃棄"))</f>
        <v>0</v>
      </c>
      <c r="O15" s="14">
        <f>IF(C15="","",SUMIFS(入出庫履歴!$G$10:$G$1009,入出庫履歴!$E$10:$E$1009,C15,入出庫履歴!$D$10:$D$1009,"棚卸調整"))</f>
        <v>0</v>
      </c>
      <c r="P15" s="13">
        <f t="shared" si="0"/>
        <v>0</v>
      </c>
      <c r="Q15" s="15">
        <f t="shared" si="1"/>
        <v>0</v>
      </c>
      <c r="R15" s="16">
        <v>4</v>
      </c>
      <c r="S15" s="16">
        <v>10</v>
      </c>
      <c r="T15" s="17" t="str">
        <f t="shared" si="2"/>
        <v>欠品</v>
      </c>
      <c r="U15" s="13">
        <f t="shared" si="3"/>
        <v>10</v>
      </c>
      <c r="V15" s="18" t="str">
        <f>IF(C15="","",IF(_xlfn.MINIFS(入出庫履歴!$K$10:$K$1009,入出庫履歴!$E$10:$E$1009,C15,入出庫履歴!$N$10:$N$1009,"&gt;0")=0,"",_xlfn.MINIFS(入出庫履歴!$K$10:$K$1009,入出庫履歴!$E$10:$E$1009,C15,入出庫履歴!$N$10:$N$1009,"&gt;0")))</f>
        <v/>
      </c>
      <c r="W15" s="17" t="str">
        <f ca="1">IF(OR(V15="",P15&lt;=0),"",IF(V15&lt;TODAY(),"期限切れ",IF(V15-TODAY()&lt;=設定!$C$4,"期限間近","")))</f>
        <v/>
      </c>
      <c r="X15" s="10" t="s">
        <v>73</v>
      </c>
      <c r="Y15" s="19"/>
      <c r="Z15">
        <f>IF(OR(T15="要発注",T15="欠品",T15="在庫異常"),COUNTIF($T$10:T15,"要発注")+COUNTIF($T$10:T15,"欠品")+COUNTIF($T$10:T15,"在庫異常"),"")</f>
        <v>4</v>
      </c>
    </row>
    <row r="16" spans="1:35">
      <c r="B16" s="8">
        <f>IF(C16="","",COUNTA($C$10:C16))</f>
        <v>7</v>
      </c>
      <c r="C16" s="9" t="s">
        <v>74</v>
      </c>
      <c r="D16" s="10" t="s">
        <v>75</v>
      </c>
      <c r="E16" s="19" t="s">
        <v>76</v>
      </c>
      <c r="F16" s="10" t="s">
        <v>77</v>
      </c>
      <c r="G16" s="11" t="s">
        <v>53</v>
      </c>
      <c r="H16" s="11" t="s">
        <v>65</v>
      </c>
      <c r="I16" s="11" t="s">
        <v>78</v>
      </c>
      <c r="J16" s="10" t="s">
        <v>79</v>
      </c>
      <c r="K16" s="12">
        <v>520</v>
      </c>
      <c r="L16" s="13">
        <f>IF(C16="","",SUMIFS(入出庫履歴!$G$10:$G$1009,入出庫履歴!$E$10:$E$1009,C16,入出庫履歴!$D$10:$D$1009,"入庫"))</f>
        <v>6</v>
      </c>
      <c r="M16" s="13">
        <f>IF(C16="","",SUMIFS(入出庫履歴!$G$10:$G$1009,入出庫履歴!$E$10:$E$1009,C16,入出庫履歴!$D$10:$D$1009,"出庫"))</f>
        <v>2</v>
      </c>
      <c r="N16" s="13">
        <f>IF(C16="","",SUMIFS(入出庫履歴!$G$10:$G$1009,入出庫履歴!$E$10:$E$1009,C16,入出庫履歴!$D$10:$D$1009,"廃棄"))</f>
        <v>0</v>
      </c>
      <c r="O16" s="14">
        <f>IF(C16="","",SUMIFS(入出庫履歴!$G$10:$G$1009,入出庫履歴!$E$10:$E$1009,C16,入出庫履歴!$D$10:$D$1009,"棚卸調整"))</f>
        <v>0</v>
      </c>
      <c r="P16" s="13">
        <f t="shared" si="0"/>
        <v>4</v>
      </c>
      <c r="Q16" s="15">
        <f t="shared" si="1"/>
        <v>2080</v>
      </c>
      <c r="R16" s="16">
        <v>2</v>
      </c>
      <c r="S16" s="16">
        <v>6</v>
      </c>
      <c r="T16" s="17" t="str">
        <f t="shared" si="2"/>
        <v>適正</v>
      </c>
      <c r="U16" s="13" t="str">
        <f t="shared" si="3"/>
        <v/>
      </c>
      <c r="V16" s="18">
        <f>IF(C16="","",IF(_xlfn.MINIFS(入出庫履歴!$K$10:$K$1009,入出庫履歴!$E$10:$E$1009,C16,入出庫履歴!$N$10:$N$1009,"&gt;0")=0,"",_xlfn.MINIFS(入出庫履歴!$K$10:$K$1009,入出庫履歴!$E$10:$E$1009,C16,入出庫履歴!$N$10:$N$1009,"&gt;0")))</f>
        <v>46568</v>
      </c>
      <c r="W16" s="17" t="str">
        <f ca="1">IF(OR(V16="",P16&lt;=0),"",IF(V16&lt;TODAY(),"期限切れ",IF(V16-TODAY()&lt;=設定!$C$4,"期限間近","")))</f>
        <v/>
      </c>
      <c r="X16" s="10" t="s">
        <v>80</v>
      </c>
      <c r="Y16" s="19"/>
      <c r="Z16" t="str">
        <f>IF(OR(T16="要発注",T16="欠品",T16="在庫異常"),COUNTIF($T$10:T16,"要発注")+COUNTIF($T$10:T16,"欠品")+COUNTIF($T$10:T16,"在庫異常"),"")</f>
        <v/>
      </c>
    </row>
    <row r="17" spans="2:26">
      <c r="B17" s="8">
        <f>IF(C17="","",COUNTA($C$10:C17))</f>
        <v>8</v>
      </c>
      <c r="C17" s="9" t="s">
        <v>81</v>
      </c>
      <c r="D17" s="10" t="s">
        <v>82</v>
      </c>
      <c r="E17" s="19" t="s">
        <v>83</v>
      </c>
      <c r="F17" s="10" t="s">
        <v>84</v>
      </c>
      <c r="G17" s="11" t="s">
        <v>53</v>
      </c>
      <c r="H17" s="11" t="s">
        <v>85</v>
      </c>
      <c r="I17" s="11" t="s">
        <v>78</v>
      </c>
      <c r="J17" s="10" t="s">
        <v>86</v>
      </c>
      <c r="K17" s="12">
        <v>260</v>
      </c>
      <c r="L17" s="13">
        <f>IF(C17="","",SUMIFS(入出庫履歴!$G$10:$G$1009,入出庫履歴!$E$10:$E$1009,C17,入出庫履歴!$D$10:$D$1009,"入庫"))</f>
        <v>10</v>
      </c>
      <c r="M17" s="13">
        <f>IF(C17="","",SUMIFS(入出庫履歴!$G$10:$G$1009,入出庫履歴!$E$10:$E$1009,C17,入出庫履歴!$D$10:$D$1009,"出庫"))</f>
        <v>3</v>
      </c>
      <c r="N17" s="13">
        <f>IF(C17="","",SUMIFS(入出庫履歴!$G$10:$G$1009,入出庫履歴!$E$10:$E$1009,C17,入出庫履歴!$D$10:$D$1009,"廃棄"))</f>
        <v>0</v>
      </c>
      <c r="O17" s="14">
        <f>IF(C17="","",SUMIFS(入出庫履歴!$G$10:$G$1009,入出庫履歴!$E$10:$E$1009,C17,入出庫履歴!$D$10:$D$1009,"棚卸調整"))</f>
        <v>0</v>
      </c>
      <c r="P17" s="13">
        <f t="shared" si="0"/>
        <v>7</v>
      </c>
      <c r="Q17" s="15">
        <f t="shared" si="1"/>
        <v>1820</v>
      </c>
      <c r="R17" s="16">
        <v>3</v>
      </c>
      <c r="S17" s="16">
        <v>10</v>
      </c>
      <c r="T17" s="17" t="str">
        <f t="shared" si="2"/>
        <v>適正</v>
      </c>
      <c r="U17" s="13" t="str">
        <f t="shared" si="3"/>
        <v/>
      </c>
      <c r="V17" s="18">
        <f>IF(C17="","",IF(_xlfn.MINIFS(入出庫履歴!$K$10:$K$1009,入出庫履歴!$E$10:$E$1009,C17,入出庫履歴!$N$10:$N$1009,"&gt;0")=0,"",_xlfn.MINIFS(入出庫履歴!$K$10:$K$1009,入出庫履歴!$E$10:$E$1009,C17,入出庫履歴!$N$10:$N$1009,"&gt;0")))</f>
        <v>46477</v>
      </c>
      <c r="W17" s="17" t="str">
        <f ca="1">IF(OR(V17="",P17&lt;=0),"",IF(V17&lt;TODAY(),"期限切れ",IF(V17-TODAY()&lt;=設定!$C$4,"期限間近","")))</f>
        <v/>
      </c>
      <c r="X17" s="10" t="s">
        <v>87</v>
      </c>
      <c r="Y17" s="19"/>
      <c r="Z17" t="str">
        <f>IF(OR(T17="要発注",T17="欠品",T17="在庫異常"),COUNTIF($T$10:T17,"要発注")+COUNTIF($T$10:T17,"欠品")+COUNTIF($T$10:T17,"在庫異常"),"")</f>
        <v/>
      </c>
    </row>
    <row r="18" spans="2:26">
      <c r="B18" s="8">
        <f>IF(C18="","",COUNTA($C$10:C18))</f>
        <v>9</v>
      </c>
      <c r="C18" s="9" t="s">
        <v>88</v>
      </c>
      <c r="D18" s="10" t="s">
        <v>89</v>
      </c>
      <c r="E18" s="10" t="s">
        <v>90</v>
      </c>
      <c r="F18" s="10" t="s">
        <v>91</v>
      </c>
      <c r="G18" s="11" t="s">
        <v>53</v>
      </c>
      <c r="H18" s="11" t="s">
        <v>59</v>
      </c>
      <c r="I18" s="11" t="s">
        <v>92</v>
      </c>
      <c r="J18" s="10" t="s">
        <v>93</v>
      </c>
      <c r="K18" s="12">
        <v>18</v>
      </c>
      <c r="L18" s="13">
        <f>IF(C18="","",SUMIFS(入出庫履歴!$G$10:$G$1009,入出庫履歴!$E$10:$E$1009,C18,入出庫履歴!$D$10:$D$1009,"入庫"))</f>
        <v>300</v>
      </c>
      <c r="M18" s="13">
        <f>IF(C18="","",SUMIFS(入出庫履歴!$G$10:$G$1009,入出庫履歴!$E$10:$E$1009,C18,入出庫履歴!$D$10:$D$1009,"出庫"))</f>
        <v>120</v>
      </c>
      <c r="N18" s="13">
        <f>IF(C18="","",SUMIFS(入出庫履歴!$G$10:$G$1009,入出庫履歴!$E$10:$E$1009,C18,入出庫履歴!$D$10:$D$1009,"廃棄"))</f>
        <v>0</v>
      </c>
      <c r="O18" s="14">
        <f>IF(C18="","",SUMIFS(入出庫履歴!$G$10:$G$1009,入出庫履歴!$E$10:$E$1009,C18,入出庫履歴!$D$10:$D$1009,"棚卸調整"))</f>
        <v>0</v>
      </c>
      <c r="P18" s="13">
        <f t="shared" si="0"/>
        <v>180</v>
      </c>
      <c r="Q18" s="15">
        <f t="shared" si="1"/>
        <v>3240</v>
      </c>
      <c r="R18" s="16">
        <v>100</v>
      </c>
      <c r="S18" s="16">
        <v>300</v>
      </c>
      <c r="T18" s="17" t="str">
        <f t="shared" si="2"/>
        <v>適正</v>
      </c>
      <c r="U18" s="13" t="str">
        <f t="shared" si="3"/>
        <v/>
      </c>
      <c r="V18" s="18" t="str">
        <f>IF(C18="","",IF(_xlfn.MINIFS(入出庫履歴!$K$10:$K$1009,入出庫履歴!$E$10:$E$1009,C18,入出庫履歴!$N$10:$N$1009,"&gt;0")=0,"",_xlfn.MINIFS(入出庫履歴!$K$10:$K$1009,入出庫履歴!$E$10:$E$1009,C18,入出庫履歴!$N$10:$N$1009,"&gt;0")))</f>
        <v/>
      </c>
      <c r="W18" s="17" t="str">
        <f ca="1">IF(OR(V18="",P18&lt;=0),"",IF(V18&lt;TODAY(),"期限切れ",IF(V18-TODAY()&lt;=設定!$C$4,"期限間近","")))</f>
        <v/>
      </c>
      <c r="X18" s="10" t="s">
        <v>40</v>
      </c>
      <c r="Y18" s="19"/>
      <c r="Z18" t="str">
        <f>IF(OR(T18="要発注",T18="欠品",T18="在庫異常"),COUNTIF($T$10:T18,"要発注")+COUNTIF($T$10:T18,"欠品")+COUNTIF($T$10:T18,"在庫異常"),"")</f>
        <v/>
      </c>
    </row>
    <row r="19" spans="2:26">
      <c r="B19" s="8" t="str">
        <f>IF(C19="","",COUNTA($C$10:C19))</f>
        <v/>
      </c>
      <c r="C19" s="9"/>
      <c r="D19" s="19"/>
      <c r="E19" s="19"/>
      <c r="F19" s="10"/>
      <c r="G19" s="11"/>
      <c r="H19" s="9"/>
      <c r="I19" s="11"/>
      <c r="J19" s="19"/>
      <c r="K19" s="12"/>
      <c r="L19" s="13" t="str">
        <f>IF(C19="","",SUMIFS(入出庫履歴!$G$10:$G$1009,入出庫履歴!$E$10:$E$1009,C19,入出庫履歴!$D$10:$D$1009,"入庫"))</f>
        <v/>
      </c>
      <c r="M19" s="13" t="str">
        <f>IF(C19="","",SUMIFS(入出庫履歴!$G$10:$G$1009,入出庫履歴!$E$10:$E$1009,C19,入出庫履歴!$D$10:$D$1009,"出庫"))</f>
        <v/>
      </c>
      <c r="N19" s="13" t="str">
        <f>IF(C19="","",SUMIFS(入出庫履歴!$G$10:$G$1009,入出庫履歴!$E$10:$E$1009,C19,入出庫履歴!$D$10:$D$1009,"廃棄"))</f>
        <v/>
      </c>
      <c r="O19" s="14" t="str">
        <f>IF(C19="","",SUMIFS(入出庫履歴!$G$10:$G$1009,入出庫履歴!$E$10:$E$1009,C19,入出庫履歴!$D$10:$D$1009,"棚卸調整"))</f>
        <v/>
      </c>
      <c r="P19" s="13" t="str">
        <f t="shared" si="0"/>
        <v/>
      </c>
      <c r="Q19" s="15" t="str">
        <f t="shared" si="1"/>
        <v/>
      </c>
      <c r="R19" s="16"/>
      <c r="S19" s="16"/>
      <c r="T19" s="17" t="str">
        <f t="shared" si="2"/>
        <v/>
      </c>
      <c r="U19" s="13" t="str">
        <f t="shared" si="3"/>
        <v/>
      </c>
      <c r="V19" s="18" t="str">
        <f>IF(C19="","",IF(_xlfn.MINIFS(入出庫履歴!$K$10:$K$1009,入出庫履歴!$E$10:$E$1009,C19,入出庫履歴!$N$10:$N$1009,"&gt;0")=0,"",_xlfn.MINIFS(入出庫履歴!$K$10:$K$1009,入出庫履歴!$E$10:$E$1009,C19,入出庫履歴!$N$10:$N$1009,"&gt;0")))</f>
        <v/>
      </c>
      <c r="W19" s="17" t="str">
        <f ca="1">IF(OR(V19="",P19&lt;=0),"",IF(V19&lt;TODAY(),"期限切れ",IF(V19-TODAY()&lt;=設定!$C$4,"期限間近","")))</f>
        <v/>
      </c>
      <c r="X19" s="19"/>
      <c r="Y19" s="19"/>
      <c r="Z19" t="str">
        <f>IF(OR(T19="要発注",T19="欠品",T19="在庫異常"),COUNTIF($T$10:T19,"要発注")+COUNTIF($T$10:T19,"欠品")+COUNTIF($T$10:T19,"在庫異常"),"")</f>
        <v/>
      </c>
    </row>
    <row r="20" spans="2:26">
      <c r="B20" s="8" t="str">
        <f>IF(C20="","",COUNTA($C$10:C20))</f>
        <v/>
      </c>
      <c r="C20" s="9"/>
      <c r="D20" s="19"/>
      <c r="E20" s="19"/>
      <c r="F20" s="10"/>
      <c r="G20" s="11"/>
      <c r="H20" s="9"/>
      <c r="I20" s="11"/>
      <c r="J20" s="19"/>
      <c r="K20" s="12"/>
      <c r="L20" s="13" t="str">
        <f>IF(C20="","",SUMIFS(入出庫履歴!$G$10:$G$1009,入出庫履歴!$E$10:$E$1009,C20,入出庫履歴!$D$10:$D$1009,"入庫"))</f>
        <v/>
      </c>
      <c r="M20" s="13" t="str">
        <f>IF(C20="","",SUMIFS(入出庫履歴!$G$10:$G$1009,入出庫履歴!$E$10:$E$1009,C20,入出庫履歴!$D$10:$D$1009,"出庫"))</f>
        <v/>
      </c>
      <c r="N20" s="13" t="str">
        <f>IF(C20="","",SUMIFS(入出庫履歴!$G$10:$G$1009,入出庫履歴!$E$10:$E$1009,C20,入出庫履歴!$D$10:$D$1009,"廃棄"))</f>
        <v/>
      </c>
      <c r="O20" s="14" t="str">
        <f>IF(C20="","",SUMIFS(入出庫履歴!$G$10:$G$1009,入出庫履歴!$E$10:$E$1009,C20,入出庫履歴!$D$10:$D$1009,"棚卸調整"))</f>
        <v/>
      </c>
      <c r="P20" s="13" t="str">
        <f t="shared" si="0"/>
        <v/>
      </c>
      <c r="Q20" s="15" t="str">
        <f t="shared" si="1"/>
        <v/>
      </c>
      <c r="R20" s="16"/>
      <c r="S20" s="16"/>
      <c r="T20" s="17" t="str">
        <f t="shared" si="2"/>
        <v/>
      </c>
      <c r="U20" s="13" t="str">
        <f t="shared" si="3"/>
        <v/>
      </c>
      <c r="V20" s="18" t="str">
        <f>IF(C20="","",IF(_xlfn.MINIFS(入出庫履歴!$K$10:$K$1009,入出庫履歴!$E$10:$E$1009,C20,入出庫履歴!$N$10:$N$1009,"&gt;0")=0,"",_xlfn.MINIFS(入出庫履歴!$K$10:$K$1009,入出庫履歴!$E$10:$E$1009,C20,入出庫履歴!$N$10:$N$1009,"&gt;0")))</f>
        <v/>
      </c>
      <c r="W20" s="17" t="str">
        <f ca="1">IF(OR(V20="",P20&lt;=0),"",IF(V20&lt;TODAY(),"期限切れ",IF(V20-TODAY()&lt;=設定!$C$4,"期限間近","")))</f>
        <v/>
      </c>
      <c r="X20" s="19"/>
      <c r="Y20" s="19"/>
      <c r="Z20" t="str">
        <f>IF(OR(T20="要発注",T20="欠品",T20="在庫異常"),COUNTIF($T$10:T20,"要発注")+COUNTIF($T$10:T20,"欠品")+COUNTIF($T$10:T20,"在庫異常"),"")</f>
        <v/>
      </c>
    </row>
    <row r="21" spans="2:26">
      <c r="B21" s="8" t="str">
        <f>IF(C21="","",COUNTA($C$10:C21))</f>
        <v/>
      </c>
      <c r="C21" s="9"/>
      <c r="D21" s="19"/>
      <c r="E21" s="19"/>
      <c r="F21" s="10"/>
      <c r="G21" s="11"/>
      <c r="H21" s="9"/>
      <c r="I21" s="11"/>
      <c r="J21" s="19"/>
      <c r="K21" s="12"/>
      <c r="L21" s="13" t="str">
        <f>IF(C21="","",SUMIFS(入出庫履歴!$G$10:$G$1009,入出庫履歴!$E$10:$E$1009,C21,入出庫履歴!$D$10:$D$1009,"入庫"))</f>
        <v/>
      </c>
      <c r="M21" s="13" t="str">
        <f>IF(C21="","",SUMIFS(入出庫履歴!$G$10:$G$1009,入出庫履歴!$E$10:$E$1009,C21,入出庫履歴!$D$10:$D$1009,"出庫"))</f>
        <v/>
      </c>
      <c r="N21" s="13" t="str">
        <f>IF(C21="","",SUMIFS(入出庫履歴!$G$10:$G$1009,入出庫履歴!$E$10:$E$1009,C21,入出庫履歴!$D$10:$D$1009,"廃棄"))</f>
        <v/>
      </c>
      <c r="O21" s="14" t="str">
        <f>IF(C21="","",SUMIFS(入出庫履歴!$G$10:$G$1009,入出庫履歴!$E$10:$E$1009,C21,入出庫履歴!$D$10:$D$1009,"棚卸調整"))</f>
        <v/>
      </c>
      <c r="P21" s="13" t="str">
        <f t="shared" si="0"/>
        <v/>
      </c>
      <c r="Q21" s="15" t="str">
        <f t="shared" si="1"/>
        <v/>
      </c>
      <c r="R21" s="16"/>
      <c r="S21" s="16"/>
      <c r="T21" s="17" t="str">
        <f t="shared" si="2"/>
        <v/>
      </c>
      <c r="U21" s="13" t="str">
        <f t="shared" si="3"/>
        <v/>
      </c>
      <c r="V21" s="18" t="str">
        <f>IF(C21="","",IF(_xlfn.MINIFS(入出庫履歴!$K$10:$K$1009,入出庫履歴!$E$10:$E$1009,C21,入出庫履歴!$N$10:$N$1009,"&gt;0")=0,"",_xlfn.MINIFS(入出庫履歴!$K$10:$K$1009,入出庫履歴!$E$10:$E$1009,C21,入出庫履歴!$N$10:$N$1009,"&gt;0")))</f>
        <v/>
      </c>
      <c r="W21" s="17" t="str">
        <f ca="1">IF(OR(V21="",P21&lt;=0),"",IF(V21&lt;TODAY(),"期限切れ",IF(V21-TODAY()&lt;=設定!$C$4,"期限間近","")))</f>
        <v/>
      </c>
      <c r="X21" s="19"/>
      <c r="Y21" s="19"/>
      <c r="Z21" t="str">
        <f>IF(OR(T21="要発注",T21="欠品",T21="在庫異常"),COUNTIF($T$10:T21,"要発注")+COUNTIF($T$10:T21,"欠品")+COUNTIF($T$10:T21,"在庫異常"),"")</f>
        <v/>
      </c>
    </row>
    <row r="22" spans="2:26">
      <c r="B22" s="8" t="str">
        <f>IF(C22="","",COUNTA($C$10:C22))</f>
        <v/>
      </c>
      <c r="C22" s="9"/>
      <c r="D22" s="19"/>
      <c r="E22" s="19"/>
      <c r="F22" s="10"/>
      <c r="G22" s="11"/>
      <c r="H22" s="9"/>
      <c r="I22" s="11"/>
      <c r="J22" s="19"/>
      <c r="K22" s="12"/>
      <c r="L22" s="13" t="str">
        <f>IF(C22="","",SUMIFS(入出庫履歴!$G$10:$G$1009,入出庫履歴!$E$10:$E$1009,C22,入出庫履歴!$D$10:$D$1009,"入庫"))</f>
        <v/>
      </c>
      <c r="M22" s="13" t="str">
        <f>IF(C22="","",SUMIFS(入出庫履歴!$G$10:$G$1009,入出庫履歴!$E$10:$E$1009,C22,入出庫履歴!$D$10:$D$1009,"出庫"))</f>
        <v/>
      </c>
      <c r="N22" s="13" t="str">
        <f>IF(C22="","",SUMIFS(入出庫履歴!$G$10:$G$1009,入出庫履歴!$E$10:$E$1009,C22,入出庫履歴!$D$10:$D$1009,"廃棄"))</f>
        <v/>
      </c>
      <c r="O22" s="14" t="str">
        <f>IF(C22="","",SUMIFS(入出庫履歴!$G$10:$G$1009,入出庫履歴!$E$10:$E$1009,C22,入出庫履歴!$D$10:$D$1009,"棚卸調整"))</f>
        <v/>
      </c>
      <c r="P22" s="13" t="str">
        <f t="shared" si="0"/>
        <v/>
      </c>
      <c r="Q22" s="15" t="str">
        <f t="shared" si="1"/>
        <v/>
      </c>
      <c r="R22" s="16"/>
      <c r="S22" s="16"/>
      <c r="T22" s="17" t="str">
        <f t="shared" si="2"/>
        <v/>
      </c>
      <c r="U22" s="13" t="str">
        <f t="shared" si="3"/>
        <v/>
      </c>
      <c r="V22" s="18" t="str">
        <f>IF(C22="","",IF(_xlfn.MINIFS(入出庫履歴!$K$10:$K$1009,入出庫履歴!$E$10:$E$1009,C22,入出庫履歴!$N$10:$N$1009,"&gt;0")=0,"",_xlfn.MINIFS(入出庫履歴!$K$10:$K$1009,入出庫履歴!$E$10:$E$1009,C22,入出庫履歴!$N$10:$N$1009,"&gt;0")))</f>
        <v/>
      </c>
      <c r="W22" s="17" t="str">
        <f ca="1">IF(OR(V22="",P22&lt;=0),"",IF(V22&lt;TODAY(),"期限切れ",IF(V22-TODAY()&lt;=設定!$C$4,"期限間近","")))</f>
        <v/>
      </c>
      <c r="X22" s="19"/>
      <c r="Y22" s="19"/>
      <c r="Z22" t="str">
        <f>IF(OR(T22="要発注",T22="欠品",T22="在庫異常"),COUNTIF($T$10:T22,"要発注")+COUNTIF($T$10:T22,"欠品")+COUNTIF($T$10:T22,"在庫異常"),"")</f>
        <v/>
      </c>
    </row>
    <row r="23" spans="2:26">
      <c r="B23" s="8" t="str">
        <f>IF(C23="","",COUNTA($C$10:C23))</f>
        <v/>
      </c>
      <c r="C23" s="9"/>
      <c r="D23" s="19"/>
      <c r="E23" s="19"/>
      <c r="F23" s="10"/>
      <c r="G23" s="11"/>
      <c r="H23" s="9"/>
      <c r="I23" s="11"/>
      <c r="J23" s="19"/>
      <c r="K23" s="12"/>
      <c r="L23" s="13" t="str">
        <f>IF(C23="","",SUMIFS(入出庫履歴!$G$10:$G$1009,入出庫履歴!$E$10:$E$1009,C23,入出庫履歴!$D$10:$D$1009,"入庫"))</f>
        <v/>
      </c>
      <c r="M23" s="13" t="str">
        <f>IF(C23="","",SUMIFS(入出庫履歴!$G$10:$G$1009,入出庫履歴!$E$10:$E$1009,C23,入出庫履歴!$D$10:$D$1009,"出庫"))</f>
        <v/>
      </c>
      <c r="N23" s="13" t="str">
        <f>IF(C23="","",SUMIFS(入出庫履歴!$G$10:$G$1009,入出庫履歴!$E$10:$E$1009,C23,入出庫履歴!$D$10:$D$1009,"廃棄"))</f>
        <v/>
      </c>
      <c r="O23" s="14" t="str">
        <f>IF(C23="","",SUMIFS(入出庫履歴!$G$10:$G$1009,入出庫履歴!$E$10:$E$1009,C23,入出庫履歴!$D$10:$D$1009,"棚卸調整"))</f>
        <v/>
      </c>
      <c r="P23" s="13" t="str">
        <f t="shared" si="0"/>
        <v/>
      </c>
      <c r="Q23" s="15" t="str">
        <f t="shared" si="1"/>
        <v/>
      </c>
      <c r="R23" s="16"/>
      <c r="S23" s="16"/>
      <c r="T23" s="17" t="str">
        <f t="shared" si="2"/>
        <v/>
      </c>
      <c r="U23" s="13" t="str">
        <f t="shared" si="3"/>
        <v/>
      </c>
      <c r="V23" s="18" t="str">
        <f>IF(C23="","",IF(_xlfn.MINIFS(入出庫履歴!$K$10:$K$1009,入出庫履歴!$E$10:$E$1009,C23,入出庫履歴!$N$10:$N$1009,"&gt;0")=0,"",_xlfn.MINIFS(入出庫履歴!$K$10:$K$1009,入出庫履歴!$E$10:$E$1009,C23,入出庫履歴!$N$10:$N$1009,"&gt;0")))</f>
        <v/>
      </c>
      <c r="W23" s="17" t="str">
        <f ca="1">IF(OR(V23="",P23&lt;=0),"",IF(V23&lt;TODAY(),"期限切れ",IF(V23-TODAY()&lt;=設定!$C$4,"期限間近","")))</f>
        <v/>
      </c>
      <c r="X23" s="19"/>
      <c r="Y23" s="19"/>
      <c r="Z23" t="str">
        <f>IF(OR(T23="要発注",T23="欠品",T23="在庫異常"),COUNTIF($T$10:T23,"要発注")+COUNTIF($T$10:T23,"欠品")+COUNTIF($T$10:T23,"在庫異常"),"")</f>
        <v/>
      </c>
    </row>
    <row r="24" spans="2:26">
      <c r="B24" s="8" t="str">
        <f>IF(C24="","",COUNTA($C$10:C24))</f>
        <v/>
      </c>
      <c r="C24" s="9"/>
      <c r="D24" s="19"/>
      <c r="E24" s="19"/>
      <c r="F24" s="10"/>
      <c r="G24" s="11"/>
      <c r="H24" s="9"/>
      <c r="I24" s="11"/>
      <c r="J24" s="19"/>
      <c r="K24" s="12"/>
      <c r="L24" s="13" t="str">
        <f>IF(C24="","",SUMIFS(入出庫履歴!$G$10:$G$1009,入出庫履歴!$E$10:$E$1009,C24,入出庫履歴!$D$10:$D$1009,"入庫"))</f>
        <v/>
      </c>
      <c r="M24" s="13" t="str">
        <f>IF(C24="","",SUMIFS(入出庫履歴!$G$10:$G$1009,入出庫履歴!$E$10:$E$1009,C24,入出庫履歴!$D$10:$D$1009,"出庫"))</f>
        <v/>
      </c>
      <c r="N24" s="13" t="str">
        <f>IF(C24="","",SUMIFS(入出庫履歴!$G$10:$G$1009,入出庫履歴!$E$10:$E$1009,C24,入出庫履歴!$D$10:$D$1009,"廃棄"))</f>
        <v/>
      </c>
      <c r="O24" s="14" t="str">
        <f>IF(C24="","",SUMIFS(入出庫履歴!$G$10:$G$1009,入出庫履歴!$E$10:$E$1009,C24,入出庫履歴!$D$10:$D$1009,"棚卸調整"))</f>
        <v/>
      </c>
      <c r="P24" s="13" t="str">
        <f t="shared" si="0"/>
        <v/>
      </c>
      <c r="Q24" s="15" t="str">
        <f t="shared" si="1"/>
        <v/>
      </c>
      <c r="R24" s="16"/>
      <c r="S24" s="16"/>
      <c r="T24" s="17" t="str">
        <f t="shared" si="2"/>
        <v/>
      </c>
      <c r="U24" s="13" t="str">
        <f t="shared" si="3"/>
        <v/>
      </c>
      <c r="V24" s="18" t="str">
        <f>IF(C24="","",IF(_xlfn.MINIFS(入出庫履歴!$K$10:$K$1009,入出庫履歴!$E$10:$E$1009,C24,入出庫履歴!$N$10:$N$1009,"&gt;0")=0,"",_xlfn.MINIFS(入出庫履歴!$K$10:$K$1009,入出庫履歴!$E$10:$E$1009,C24,入出庫履歴!$N$10:$N$1009,"&gt;0")))</f>
        <v/>
      </c>
      <c r="W24" s="17" t="str">
        <f ca="1">IF(OR(V24="",P24&lt;=0),"",IF(V24&lt;TODAY(),"期限切れ",IF(V24-TODAY()&lt;=設定!$C$4,"期限間近","")))</f>
        <v/>
      </c>
      <c r="X24" s="19"/>
      <c r="Y24" s="19"/>
      <c r="Z24" t="str">
        <f>IF(OR(T24="要発注",T24="欠品",T24="在庫異常"),COUNTIF($T$10:T24,"要発注")+COUNTIF($T$10:T24,"欠品")+COUNTIF($T$10:T24,"在庫異常"),"")</f>
        <v/>
      </c>
    </row>
    <row r="25" spans="2:26">
      <c r="B25" s="8" t="str">
        <f>IF(C25="","",COUNTA($C$10:C25))</f>
        <v/>
      </c>
      <c r="C25" s="9"/>
      <c r="D25" s="19"/>
      <c r="E25" s="19"/>
      <c r="F25" s="10"/>
      <c r="G25" s="11"/>
      <c r="H25" s="9"/>
      <c r="I25" s="11"/>
      <c r="J25" s="19"/>
      <c r="K25" s="12"/>
      <c r="L25" s="13" t="str">
        <f>IF(C25="","",SUMIFS(入出庫履歴!$G$10:$G$1009,入出庫履歴!$E$10:$E$1009,C25,入出庫履歴!$D$10:$D$1009,"入庫"))</f>
        <v/>
      </c>
      <c r="M25" s="13" t="str">
        <f>IF(C25="","",SUMIFS(入出庫履歴!$G$10:$G$1009,入出庫履歴!$E$10:$E$1009,C25,入出庫履歴!$D$10:$D$1009,"出庫"))</f>
        <v/>
      </c>
      <c r="N25" s="13" t="str">
        <f>IF(C25="","",SUMIFS(入出庫履歴!$G$10:$G$1009,入出庫履歴!$E$10:$E$1009,C25,入出庫履歴!$D$10:$D$1009,"廃棄"))</f>
        <v/>
      </c>
      <c r="O25" s="14" t="str">
        <f>IF(C25="","",SUMIFS(入出庫履歴!$G$10:$G$1009,入出庫履歴!$E$10:$E$1009,C25,入出庫履歴!$D$10:$D$1009,"棚卸調整"))</f>
        <v/>
      </c>
      <c r="P25" s="13" t="str">
        <f t="shared" si="0"/>
        <v/>
      </c>
      <c r="Q25" s="15" t="str">
        <f t="shared" si="1"/>
        <v/>
      </c>
      <c r="R25" s="16"/>
      <c r="S25" s="16"/>
      <c r="T25" s="17" t="str">
        <f t="shared" si="2"/>
        <v/>
      </c>
      <c r="U25" s="13" t="str">
        <f t="shared" si="3"/>
        <v/>
      </c>
      <c r="V25" s="18" t="str">
        <f>IF(C25="","",IF(_xlfn.MINIFS(入出庫履歴!$K$10:$K$1009,入出庫履歴!$E$10:$E$1009,C25,入出庫履歴!$N$10:$N$1009,"&gt;0")=0,"",_xlfn.MINIFS(入出庫履歴!$K$10:$K$1009,入出庫履歴!$E$10:$E$1009,C25,入出庫履歴!$N$10:$N$1009,"&gt;0")))</f>
        <v/>
      </c>
      <c r="W25" s="17" t="str">
        <f ca="1">IF(OR(V25="",P25&lt;=0),"",IF(V25&lt;TODAY(),"期限切れ",IF(V25-TODAY()&lt;=設定!$C$4,"期限間近","")))</f>
        <v/>
      </c>
      <c r="X25" s="19"/>
      <c r="Y25" s="19"/>
      <c r="Z25" t="str">
        <f>IF(OR(T25="要発注",T25="欠品",T25="在庫異常"),COUNTIF($T$10:T25,"要発注")+COUNTIF($T$10:T25,"欠品")+COUNTIF($T$10:T25,"在庫異常"),"")</f>
        <v/>
      </c>
    </row>
    <row r="26" spans="2:26">
      <c r="B26" s="8" t="str">
        <f>IF(C26="","",COUNTA($C$10:C26))</f>
        <v/>
      </c>
      <c r="C26" s="9"/>
      <c r="D26" s="19"/>
      <c r="E26" s="19"/>
      <c r="F26" s="10"/>
      <c r="G26" s="11"/>
      <c r="H26" s="9"/>
      <c r="I26" s="11"/>
      <c r="J26" s="19"/>
      <c r="K26" s="12"/>
      <c r="L26" s="13" t="str">
        <f>IF(C26="","",SUMIFS(入出庫履歴!$G$10:$G$1009,入出庫履歴!$E$10:$E$1009,C26,入出庫履歴!$D$10:$D$1009,"入庫"))</f>
        <v/>
      </c>
      <c r="M26" s="13" t="str">
        <f>IF(C26="","",SUMIFS(入出庫履歴!$G$10:$G$1009,入出庫履歴!$E$10:$E$1009,C26,入出庫履歴!$D$10:$D$1009,"出庫"))</f>
        <v/>
      </c>
      <c r="N26" s="13" t="str">
        <f>IF(C26="","",SUMIFS(入出庫履歴!$G$10:$G$1009,入出庫履歴!$E$10:$E$1009,C26,入出庫履歴!$D$10:$D$1009,"廃棄"))</f>
        <v/>
      </c>
      <c r="O26" s="14" t="str">
        <f>IF(C26="","",SUMIFS(入出庫履歴!$G$10:$G$1009,入出庫履歴!$E$10:$E$1009,C26,入出庫履歴!$D$10:$D$1009,"棚卸調整"))</f>
        <v/>
      </c>
      <c r="P26" s="13" t="str">
        <f t="shared" si="0"/>
        <v/>
      </c>
      <c r="Q26" s="15" t="str">
        <f t="shared" si="1"/>
        <v/>
      </c>
      <c r="R26" s="16"/>
      <c r="S26" s="16"/>
      <c r="T26" s="17" t="str">
        <f t="shared" si="2"/>
        <v/>
      </c>
      <c r="U26" s="13" t="str">
        <f t="shared" si="3"/>
        <v/>
      </c>
      <c r="V26" s="18" t="str">
        <f>IF(C26="","",IF(_xlfn.MINIFS(入出庫履歴!$K$10:$K$1009,入出庫履歴!$E$10:$E$1009,C26,入出庫履歴!$N$10:$N$1009,"&gt;0")=0,"",_xlfn.MINIFS(入出庫履歴!$K$10:$K$1009,入出庫履歴!$E$10:$E$1009,C26,入出庫履歴!$N$10:$N$1009,"&gt;0")))</f>
        <v/>
      </c>
      <c r="W26" s="17" t="str">
        <f ca="1">IF(OR(V26="",P26&lt;=0),"",IF(V26&lt;TODAY(),"期限切れ",IF(V26-TODAY()&lt;=設定!$C$4,"期限間近","")))</f>
        <v/>
      </c>
      <c r="X26" s="19"/>
      <c r="Y26" s="19"/>
      <c r="Z26" t="str">
        <f>IF(OR(T26="要発注",T26="欠品",T26="在庫異常"),COUNTIF($T$10:T26,"要発注")+COUNTIF($T$10:T26,"欠品")+COUNTIF($T$10:T26,"在庫異常"),"")</f>
        <v/>
      </c>
    </row>
    <row r="27" spans="2:26">
      <c r="B27" s="8" t="str">
        <f>IF(C27="","",COUNTA($C$10:C27))</f>
        <v/>
      </c>
      <c r="C27" s="9"/>
      <c r="D27" s="19"/>
      <c r="E27" s="19"/>
      <c r="F27" s="10"/>
      <c r="G27" s="11"/>
      <c r="H27" s="9"/>
      <c r="I27" s="11"/>
      <c r="J27" s="19"/>
      <c r="K27" s="12"/>
      <c r="L27" s="13" t="str">
        <f>IF(C27="","",SUMIFS(入出庫履歴!$G$10:$G$1009,入出庫履歴!$E$10:$E$1009,C27,入出庫履歴!$D$10:$D$1009,"入庫"))</f>
        <v/>
      </c>
      <c r="M27" s="13" t="str">
        <f>IF(C27="","",SUMIFS(入出庫履歴!$G$10:$G$1009,入出庫履歴!$E$10:$E$1009,C27,入出庫履歴!$D$10:$D$1009,"出庫"))</f>
        <v/>
      </c>
      <c r="N27" s="13" t="str">
        <f>IF(C27="","",SUMIFS(入出庫履歴!$G$10:$G$1009,入出庫履歴!$E$10:$E$1009,C27,入出庫履歴!$D$10:$D$1009,"廃棄"))</f>
        <v/>
      </c>
      <c r="O27" s="14" t="str">
        <f>IF(C27="","",SUMIFS(入出庫履歴!$G$10:$G$1009,入出庫履歴!$E$10:$E$1009,C27,入出庫履歴!$D$10:$D$1009,"棚卸調整"))</f>
        <v/>
      </c>
      <c r="P27" s="13" t="str">
        <f t="shared" si="0"/>
        <v/>
      </c>
      <c r="Q27" s="15" t="str">
        <f t="shared" si="1"/>
        <v/>
      </c>
      <c r="R27" s="16"/>
      <c r="S27" s="16"/>
      <c r="T27" s="17" t="str">
        <f t="shared" si="2"/>
        <v/>
      </c>
      <c r="U27" s="13" t="str">
        <f t="shared" si="3"/>
        <v/>
      </c>
      <c r="V27" s="18" t="str">
        <f>IF(C27="","",IF(_xlfn.MINIFS(入出庫履歴!$K$10:$K$1009,入出庫履歴!$E$10:$E$1009,C27,入出庫履歴!$N$10:$N$1009,"&gt;0")=0,"",_xlfn.MINIFS(入出庫履歴!$K$10:$K$1009,入出庫履歴!$E$10:$E$1009,C27,入出庫履歴!$N$10:$N$1009,"&gt;0")))</f>
        <v/>
      </c>
      <c r="W27" s="17" t="str">
        <f ca="1">IF(OR(V27="",P27&lt;=0),"",IF(V27&lt;TODAY(),"期限切れ",IF(V27-TODAY()&lt;=設定!$C$4,"期限間近","")))</f>
        <v/>
      </c>
      <c r="X27" s="19"/>
      <c r="Y27" s="19"/>
      <c r="Z27" t="str">
        <f>IF(OR(T27="要発注",T27="欠品",T27="在庫異常"),COUNTIF($T$10:T27,"要発注")+COUNTIF($T$10:T27,"欠品")+COUNTIF($T$10:T27,"在庫異常"),"")</f>
        <v/>
      </c>
    </row>
    <row r="28" spans="2:26">
      <c r="B28" s="8" t="str">
        <f>IF(C28="","",COUNTA($C$10:C28))</f>
        <v/>
      </c>
      <c r="C28" s="9"/>
      <c r="D28" s="19"/>
      <c r="E28" s="19"/>
      <c r="F28" s="10"/>
      <c r="G28" s="11"/>
      <c r="H28" s="9"/>
      <c r="I28" s="11"/>
      <c r="J28" s="19"/>
      <c r="K28" s="12"/>
      <c r="L28" s="13" t="str">
        <f>IF(C28="","",SUMIFS(入出庫履歴!$G$10:$G$1009,入出庫履歴!$E$10:$E$1009,C28,入出庫履歴!$D$10:$D$1009,"入庫"))</f>
        <v/>
      </c>
      <c r="M28" s="13" t="str">
        <f>IF(C28="","",SUMIFS(入出庫履歴!$G$10:$G$1009,入出庫履歴!$E$10:$E$1009,C28,入出庫履歴!$D$10:$D$1009,"出庫"))</f>
        <v/>
      </c>
      <c r="N28" s="13" t="str">
        <f>IF(C28="","",SUMIFS(入出庫履歴!$G$10:$G$1009,入出庫履歴!$E$10:$E$1009,C28,入出庫履歴!$D$10:$D$1009,"廃棄"))</f>
        <v/>
      </c>
      <c r="O28" s="14" t="str">
        <f>IF(C28="","",SUMIFS(入出庫履歴!$G$10:$G$1009,入出庫履歴!$E$10:$E$1009,C28,入出庫履歴!$D$10:$D$1009,"棚卸調整"))</f>
        <v/>
      </c>
      <c r="P28" s="13" t="str">
        <f t="shared" si="0"/>
        <v/>
      </c>
      <c r="Q28" s="15" t="str">
        <f t="shared" si="1"/>
        <v/>
      </c>
      <c r="R28" s="16"/>
      <c r="S28" s="16"/>
      <c r="T28" s="17" t="str">
        <f t="shared" si="2"/>
        <v/>
      </c>
      <c r="U28" s="13" t="str">
        <f t="shared" si="3"/>
        <v/>
      </c>
      <c r="V28" s="18" t="str">
        <f>IF(C28="","",IF(_xlfn.MINIFS(入出庫履歴!$K$10:$K$1009,入出庫履歴!$E$10:$E$1009,C28,入出庫履歴!$N$10:$N$1009,"&gt;0")=0,"",_xlfn.MINIFS(入出庫履歴!$K$10:$K$1009,入出庫履歴!$E$10:$E$1009,C28,入出庫履歴!$N$10:$N$1009,"&gt;0")))</f>
        <v/>
      </c>
      <c r="W28" s="17" t="str">
        <f ca="1">IF(OR(V28="",P28&lt;=0),"",IF(V28&lt;TODAY(),"期限切れ",IF(V28-TODAY()&lt;=設定!$C$4,"期限間近","")))</f>
        <v/>
      </c>
      <c r="X28" s="19"/>
      <c r="Y28" s="19"/>
      <c r="Z28" t="str">
        <f>IF(OR(T28="要発注",T28="欠品",T28="在庫異常"),COUNTIF($T$10:T28,"要発注")+COUNTIF($T$10:T28,"欠品")+COUNTIF($T$10:T28,"在庫異常"),"")</f>
        <v/>
      </c>
    </row>
    <row r="29" spans="2:26">
      <c r="B29" s="8" t="str">
        <f>IF(C29="","",COUNTA($C$10:C29))</f>
        <v/>
      </c>
      <c r="C29" s="9"/>
      <c r="D29" s="19"/>
      <c r="E29" s="19"/>
      <c r="F29" s="10"/>
      <c r="G29" s="11"/>
      <c r="H29" s="9"/>
      <c r="I29" s="11"/>
      <c r="J29" s="19"/>
      <c r="K29" s="12"/>
      <c r="L29" s="13" t="str">
        <f>IF(C29="","",SUMIFS(入出庫履歴!$G$10:$G$1009,入出庫履歴!$E$10:$E$1009,C29,入出庫履歴!$D$10:$D$1009,"入庫"))</f>
        <v/>
      </c>
      <c r="M29" s="13" t="str">
        <f>IF(C29="","",SUMIFS(入出庫履歴!$G$10:$G$1009,入出庫履歴!$E$10:$E$1009,C29,入出庫履歴!$D$10:$D$1009,"出庫"))</f>
        <v/>
      </c>
      <c r="N29" s="13" t="str">
        <f>IF(C29="","",SUMIFS(入出庫履歴!$G$10:$G$1009,入出庫履歴!$E$10:$E$1009,C29,入出庫履歴!$D$10:$D$1009,"廃棄"))</f>
        <v/>
      </c>
      <c r="O29" s="14" t="str">
        <f>IF(C29="","",SUMIFS(入出庫履歴!$G$10:$G$1009,入出庫履歴!$E$10:$E$1009,C29,入出庫履歴!$D$10:$D$1009,"棚卸調整"))</f>
        <v/>
      </c>
      <c r="P29" s="13" t="str">
        <f t="shared" si="0"/>
        <v/>
      </c>
      <c r="Q29" s="15" t="str">
        <f t="shared" si="1"/>
        <v/>
      </c>
      <c r="R29" s="16"/>
      <c r="S29" s="16"/>
      <c r="T29" s="17" t="str">
        <f t="shared" si="2"/>
        <v/>
      </c>
      <c r="U29" s="13" t="str">
        <f t="shared" si="3"/>
        <v/>
      </c>
      <c r="V29" s="18" t="str">
        <f>IF(C29="","",IF(_xlfn.MINIFS(入出庫履歴!$K$10:$K$1009,入出庫履歴!$E$10:$E$1009,C29,入出庫履歴!$N$10:$N$1009,"&gt;0")=0,"",_xlfn.MINIFS(入出庫履歴!$K$10:$K$1009,入出庫履歴!$E$10:$E$1009,C29,入出庫履歴!$N$10:$N$1009,"&gt;0")))</f>
        <v/>
      </c>
      <c r="W29" s="17" t="str">
        <f ca="1">IF(OR(V29="",P29&lt;=0),"",IF(V29&lt;TODAY(),"期限切れ",IF(V29-TODAY()&lt;=設定!$C$4,"期限間近","")))</f>
        <v/>
      </c>
      <c r="X29" s="19"/>
      <c r="Y29" s="19"/>
      <c r="Z29" t="str">
        <f>IF(OR(T29="要発注",T29="欠品",T29="在庫異常"),COUNTIF($T$10:T29,"要発注")+COUNTIF($T$10:T29,"欠品")+COUNTIF($T$10:T29,"在庫異常"),"")</f>
        <v/>
      </c>
    </row>
    <row r="30" spans="2:26">
      <c r="B30" s="8" t="str">
        <f>IF(C30="","",COUNTA($C$10:C30))</f>
        <v/>
      </c>
      <c r="C30" s="9"/>
      <c r="D30" s="19"/>
      <c r="E30" s="19"/>
      <c r="F30" s="10"/>
      <c r="G30" s="11"/>
      <c r="H30" s="9"/>
      <c r="I30" s="11"/>
      <c r="J30" s="19"/>
      <c r="K30" s="12"/>
      <c r="L30" s="13" t="str">
        <f>IF(C30="","",SUMIFS(入出庫履歴!$G$10:$G$1009,入出庫履歴!$E$10:$E$1009,C30,入出庫履歴!$D$10:$D$1009,"入庫"))</f>
        <v/>
      </c>
      <c r="M30" s="13" t="str">
        <f>IF(C30="","",SUMIFS(入出庫履歴!$G$10:$G$1009,入出庫履歴!$E$10:$E$1009,C30,入出庫履歴!$D$10:$D$1009,"出庫"))</f>
        <v/>
      </c>
      <c r="N30" s="13" t="str">
        <f>IF(C30="","",SUMIFS(入出庫履歴!$G$10:$G$1009,入出庫履歴!$E$10:$E$1009,C30,入出庫履歴!$D$10:$D$1009,"廃棄"))</f>
        <v/>
      </c>
      <c r="O30" s="14" t="str">
        <f>IF(C30="","",SUMIFS(入出庫履歴!$G$10:$G$1009,入出庫履歴!$E$10:$E$1009,C30,入出庫履歴!$D$10:$D$1009,"棚卸調整"))</f>
        <v/>
      </c>
      <c r="P30" s="13" t="str">
        <f t="shared" si="0"/>
        <v/>
      </c>
      <c r="Q30" s="15" t="str">
        <f t="shared" si="1"/>
        <v/>
      </c>
      <c r="R30" s="16"/>
      <c r="S30" s="16"/>
      <c r="T30" s="17" t="str">
        <f t="shared" si="2"/>
        <v/>
      </c>
      <c r="U30" s="13" t="str">
        <f t="shared" si="3"/>
        <v/>
      </c>
      <c r="V30" s="18" t="str">
        <f>IF(C30="","",IF(_xlfn.MINIFS(入出庫履歴!$K$10:$K$1009,入出庫履歴!$E$10:$E$1009,C30,入出庫履歴!$N$10:$N$1009,"&gt;0")=0,"",_xlfn.MINIFS(入出庫履歴!$K$10:$K$1009,入出庫履歴!$E$10:$E$1009,C30,入出庫履歴!$N$10:$N$1009,"&gt;0")))</f>
        <v/>
      </c>
      <c r="W30" s="17" t="str">
        <f ca="1">IF(OR(V30="",P30&lt;=0),"",IF(V30&lt;TODAY(),"期限切れ",IF(V30-TODAY()&lt;=設定!$C$4,"期限間近","")))</f>
        <v/>
      </c>
      <c r="X30" s="19"/>
      <c r="Y30" s="19"/>
      <c r="Z30" t="str">
        <f>IF(OR(T30="要発注",T30="欠品",T30="在庫異常"),COUNTIF($T$10:T30,"要発注")+COUNTIF($T$10:T30,"欠品")+COUNTIF($T$10:T30,"在庫異常"),"")</f>
        <v/>
      </c>
    </row>
    <row r="31" spans="2:26">
      <c r="B31" s="8" t="str">
        <f>IF(C31="","",COUNTA($C$10:C31))</f>
        <v/>
      </c>
      <c r="C31" s="9"/>
      <c r="D31" s="19"/>
      <c r="E31" s="19"/>
      <c r="F31" s="10"/>
      <c r="G31" s="11"/>
      <c r="H31" s="9"/>
      <c r="I31" s="11"/>
      <c r="J31" s="19"/>
      <c r="K31" s="12"/>
      <c r="L31" s="13" t="str">
        <f>IF(C31="","",SUMIFS(入出庫履歴!$G$10:$G$1009,入出庫履歴!$E$10:$E$1009,C31,入出庫履歴!$D$10:$D$1009,"入庫"))</f>
        <v/>
      </c>
      <c r="M31" s="13" t="str">
        <f>IF(C31="","",SUMIFS(入出庫履歴!$G$10:$G$1009,入出庫履歴!$E$10:$E$1009,C31,入出庫履歴!$D$10:$D$1009,"出庫"))</f>
        <v/>
      </c>
      <c r="N31" s="13" t="str">
        <f>IF(C31="","",SUMIFS(入出庫履歴!$G$10:$G$1009,入出庫履歴!$E$10:$E$1009,C31,入出庫履歴!$D$10:$D$1009,"廃棄"))</f>
        <v/>
      </c>
      <c r="O31" s="14" t="str">
        <f>IF(C31="","",SUMIFS(入出庫履歴!$G$10:$G$1009,入出庫履歴!$E$10:$E$1009,C31,入出庫履歴!$D$10:$D$1009,"棚卸調整"))</f>
        <v/>
      </c>
      <c r="P31" s="13" t="str">
        <f t="shared" si="0"/>
        <v/>
      </c>
      <c r="Q31" s="15" t="str">
        <f t="shared" si="1"/>
        <v/>
      </c>
      <c r="R31" s="16"/>
      <c r="S31" s="16"/>
      <c r="T31" s="17" t="str">
        <f t="shared" si="2"/>
        <v/>
      </c>
      <c r="U31" s="13" t="str">
        <f t="shared" si="3"/>
        <v/>
      </c>
      <c r="V31" s="18" t="str">
        <f>IF(C31="","",IF(_xlfn.MINIFS(入出庫履歴!$K$10:$K$1009,入出庫履歴!$E$10:$E$1009,C31,入出庫履歴!$N$10:$N$1009,"&gt;0")=0,"",_xlfn.MINIFS(入出庫履歴!$K$10:$K$1009,入出庫履歴!$E$10:$E$1009,C31,入出庫履歴!$N$10:$N$1009,"&gt;0")))</f>
        <v/>
      </c>
      <c r="W31" s="17" t="str">
        <f ca="1">IF(OR(V31="",P31&lt;=0),"",IF(V31&lt;TODAY(),"期限切れ",IF(V31-TODAY()&lt;=設定!$C$4,"期限間近","")))</f>
        <v/>
      </c>
      <c r="X31" s="19"/>
      <c r="Y31" s="19"/>
      <c r="Z31" t="str">
        <f>IF(OR(T31="要発注",T31="欠品",T31="在庫異常"),COUNTIF($T$10:T31,"要発注")+COUNTIF($T$10:T31,"欠品")+COUNTIF($T$10:T31,"在庫異常"),"")</f>
        <v/>
      </c>
    </row>
    <row r="32" spans="2:26">
      <c r="B32" s="8" t="str">
        <f>IF(C32="","",COUNTA($C$10:C32))</f>
        <v/>
      </c>
      <c r="C32" s="9"/>
      <c r="D32" s="19"/>
      <c r="E32" s="19"/>
      <c r="F32" s="10"/>
      <c r="G32" s="11"/>
      <c r="H32" s="9"/>
      <c r="I32" s="11"/>
      <c r="J32" s="19"/>
      <c r="K32" s="12"/>
      <c r="L32" s="13" t="str">
        <f>IF(C32="","",SUMIFS(入出庫履歴!$G$10:$G$1009,入出庫履歴!$E$10:$E$1009,C32,入出庫履歴!$D$10:$D$1009,"入庫"))</f>
        <v/>
      </c>
      <c r="M32" s="13" t="str">
        <f>IF(C32="","",SUMIFS(入出庫履歴!$G$10:$G$1009,入出庫履歴!$E$10:$E$1009,C32,入出庫履歴!$D$10:$D$1009,"出庫"))</f>
        <v/>
      </c>
      <c r="N32" s="13" t="str">
        <f>IF(C32="","",SUMIFS(入出庫履歴!$G$10:$G$1009,入出庫履歴!$E$10:$E$1009,C32,入出庫履歴!$D$10:$D$1009,"廃棄"))</f>
        <v/>
      </c>
      <c r="O32" s="14" t="str">
        <f>IF(C32="","",SUMIFS(入出庫履歴!$G$10:$G$1009,入出庫履歴!$E$10:$E$1009,C32,入出庫履歴!$D$10:$D$1009,"棚卸調整"))</f>
        <v/>
      </c>
      <c r="P32" s="13" t="str">
        <f t="shared" si="0"/>
        <v/>
      </c>
      <c r="Q32" s="15" t="str">
        <f t="shared" si="1"/>
        <v/>
      </c>
      <c r="R32" s="16"/>
      <c r="S32" s="16"/>
      <c r="T32" s="17" t="str">
        <f t="shared" si="2"/>
        <v/>
      </c>
      <c r="U32" s="13" t="str">
        <f t="shared" si="3"/>
        <v/>
      </c>
      <c r="V32" s="18" t="str">
        <f>IF(C32="","",IF(_xlfn.MINIFS(入出庫履歴!$K$10:$K$1009,入出庫履歴!$E$10:$E$1009,C32,入出庫履歴!$N$10:$N$1009,"&gt;0")=0,"",_xlfn.MINIFS(入出庫履歴!$K$10:$K$1009,入出庫履歴!$E$10:$E$1009,C32,入出庫履歴!$N$10:$N$1009,"&gt;0")))</f>
        <v/>
      </c>
      <c r="W32" s="17" t="str">
        <f ca="1">IF(OR(V32="",P32&lt;=0),"",IF(V32&lt;TODAY(),"期限切れ",IF(V32-TODAY()&lt;=設定!$C$4,"期限間近","")))</f>
        <v/>
      </c>
      <c r="X32" s="19"/>
      <c r="Y32" s="19"/>
      <c r="Z32" t="str">
        <f>IF(OR(T32="要発注",T32="欠品",T32="在庫異常"),COUNTIF($T$10:T32,"要発注")+COUNTIF($T$10:T32,"欠品")+COUNTIF($T$10:T32,"在庫異常"),"")</f>
        <v/>
      </c>
    </row>
    <row r="33" spans="2:26">
      <c r="B33" s="8" t="str">
        <f>IF(C33="","",COUNTA($C$10:C33))</f>
        <v/>
      </c>
      <c r="C33" s="9"/>
      <c r="D33" s="19"/>
      <c r="E33" s="19"/>
      <c r="F33" s="10"/>
      <c r="G33" s="11"/>
      <c r="H33" s="9"/>
      <c r="I33" s="11"/>
      <c r="J33" s="19"/>
      <c r="K33" s="12"/>
      <c r="L33" s="13" t="str">
        <f>IF(C33="","",SUMIFS(入出庫履歴!$G$10:$G$1009,入出庫履歴!$E$10:$E$1009,C33,入出庫履歴!$D$10:$D$1009,"入庫"))</f>
        <v/>
      </c>
      <c r="M33" s="13" t="str">
        <f>IF(C33="","",SUMIFS(入出庫履歴!$G$10:$G$1009,入出庫履歴!$E$10:$E$1009,C33,入出庫履歴!$D$10:$D$1009,"出庫"))</f>
        <v/>
      </c>
      <c r="N33" s="13" t="str">
        <f>IF(C33="","",SUMIFS(入出庫履歴!$G$10:$G$1009,入出庫履歴!$E$10:$E$1009,C33,入出庫履歴!$D$10:$D$1009,"廃棄"))</f>
        <v/>
      </c>
      <c r="O33" s="14" t="str">
        <f>IF(C33="","",SUMIFS(入出庫履歴!$G$10:$G$1009,入出庫履歴!$E$10:$E$1009,C33,入出庫履歴!$D$10:$D$1009,"棚卸調整"))</f>
        <v/>
      </c>
      <c r="P33" s="13" t="str">
        <f t="shared" si="0"/>
        <v/>
      </c>
      <c r="Q33" s="15" t="str">
        <f t="shared" si="1"/>
        <v/>
      </c>
      <c r="R33" s="16"/>
      <c r="S33" s="16"/>
      <c r="T33" s="17" t="str">
        <f t="shared" si="2"/>
        <v/>
      </c>
      <c r="U33" s="13" t="str">
        <f t="shared" si="3"/>
        <v/>
      </c>
      <c r="V33" s="18" t="str">
        <f>IF(C33="","",IF(_xlfn.MINIFS(入出庫履歴!$K$10:$K$1009,入出庫履歴!$E$10:$E$1009,C33,入出庫履歴!$N$10:$N$1009,"&gt;0")=0,"",_xlfn.MINIFS(入出庫履歴!$K$10:$K$1009,入出庫履歴!$E$10:$E$1009,C33,入出庫履歴!$N$10:$N$1009,"&gt;0")))</f>
        <v/>
      </c>
      <c r="W33" s="17" t="str">
        <f ca="1">IF(OR(V33="",P33&lt;=0),"",IF(V33&lt;TODAY(),"期限切れ",IF(V33-TODAY()&lt;=設定!$C$4,"期限間近","")))</f>
        <v/>
      </c>
      <c r="X33" s="19"/>
      <c r="Y33" s="19"/>
      <c r="Z33" t="str">
        <f>IF(OR(T33="要発注",T33="欠品",T33="在庫異常"),COUNTIF($T$10:T33,"要発注")+COUNTIF($T$10:T33,"欠品")+COUNTIF($T$10:T33,"在庫異常"),"")</f>
        <v/>
      </c>
    </row>
    <row r="34" spans="2:26">
      <c r="B34" s="8" t="str">
        <f>IF(C34="","",COUNTA($C$10:C34))</f>
        <v/>
      </c>
      <c r="C34" s="9"/>
      <c r="D34" s="19"/>
      <c r="E34" s="19"/>
      <c r="F34" s="10"/>
      <c r="G34" s="11"/>
      <c r="H34" s="9"/>
      <c r="I34" s="11"/>
      <c r="J34" s="19"/>
      <c r="K34" s="12"/>
      <c r="L34" s="13" t="str">
        <f>IF(C34="","",SUMIFS(入出庫履歴!$G$10:$G$1009,入出庫履歴!$E$10:$E$1009,C34,入出庫履歴!$D$10:$D$1009,"入庫"))</f>
        <v/>
      </c>
      <c r="M34" s="13" t="str">
        <f>IF(C34="","",SUMIFS(入出庫履歴!$G$10:$G$1009,入出庫履歴!$E$10:$E$1009,C34,入出庫履歴!$D$10:$D$1009,"出庫"))</f>
        <v/>
      </c>
      <c r="N34" s="13" t="str">
        <f>IF(C34="","",SUMIFS(入出庫履歴!$G$10:$G$1009,入出庫履歴!$E$10:$E$1009,C34,入出庫履歴!$D$10:$D$1009,"廃棄"))</f>
        <v/>
      </c>
      <c r="O34" s="14" t="str">
        <f>IF(C34="","",SUMIFS(入出庫履歴!$G$10:$G$1009,入出庫履歴!$E$10:$E$1009,C34,入出庫履歴!$D$10:$D$1009,"棚卸調整"))</f>
        <v/>
      </c>
      <c r="P34" s="13" t="str">
        <f t="shared" si="0"/>
        <v/>
      </c>
      <c r="Q34" s="15" t="str">
        <f t="shared" si="1"/>
        <v/>
      </c>
      <c r="R34" s="16"/>
      <c r="S34" s="16"/>
      <c r="T34" s="17" t="str">
        <f t="shared" si="2"/>
        <v/>
      </c>
      <c r="U34" s="13" t="str">
        <f t="shared" si="3"/>
        <v/>
      </c>
      <c r="V34" s="18" t="str">
        <f>IF(C34="","",IF(_xlfn.MINIFS(入出庫履歴!$K$10:$K$1009,入出庫履歴!$E$10:$E$1009,C34,入出庫履歴!$N$10:$N$1009,"&gt;0")=0,"",_xlfn.MINIFS(入出庫履歴!$K$10:$K$1009,入出庫履歴!$E$10:$E$1009,C34,入出庫履歴!$N$10:$N$1009,"&gt;0")))</f>
        <v/>
      </c>
      <c r="W34" s="17" t="str">
        <f ca="1">IF(OR(V34="",P34&lt;=0),"",IF(V34&lt;TODAY(),"期限切れ",IF(V34-TODAY()&lt;=設定!$C$4,"期限間近","")))</f>
        <v/>
      </c>
      <c r="X34" s="19"/>
      <c r="Y34" s="19"/>
      <c r="Z34" t="str">
        <f>IF(OR(T34="要発注",T34="欠品",T34="在庫異常"),COUNTIF($T$10:T34,"要発注")+COUNTIF($T$10:T34,"欠品")+COUNTIF($T$10:T34,"在庫異常"),"")</f>
        <v/>
      </c>
    </row>
    <row r="35" spans="2:26">
      <c r="B35" s="8" t="str">
        <f>IF(C35="","",COUNTA($C$10:C35))</f>
        <v/>
      </c>
      <c r="C35" s="9"/>
      <c r="D35" s="19"/>
      <c r="E35" s="19"/>
      <c r="F35" s="10"/>
      <c r="G35" s="11"/>
      <c r="H35" s="9"/>
      <c r="I35" s="11"/>
      <c r="J35" s="19"/>
      <c r="K35" s="12"/>
      <c r="L35" s="13" t="str">
        <f>IF(C35="","",SUMIFS(入出庫履歴!$G$10:$G$1009,入出庫履歴!$E$10:$E$1009,C35,入出庫履歴!$D$10:$D$1009,"入庫"))</f>
        <v/>
      </c>
      <c r="M35" s="13" t="str">
        <f>IF(C35="","",SUMIFS(入出庫履歴!$G$10:$G$1009,入出庫履歴!$E$10:$E$1009,C35,入出庫履歴!$D$10:$D$1009,"出庫"))</f>
        <v/>
      </c>
      <c r="N35" s="13" t="str">
        <f>IF(C35="","",SUMIFS(入出庫履歴!$G$10:$G$1009,入出庫履歴!$E$10:$E$1009,C35,入出庫履歴!$D$10:$D$1009,"廃棄"))</f>
        <v/>
      </c>
      <c r="O35" s="14" t="str">
        <f>IF(C35="","",SUMIFS(入出庫履歴!$G$10:$G$1009,入出庫履歴!$E$10:$E$1009,C35,入出庫履歴!$D$10:$D$1009,"棚卸調整"))</f>
        <v/>
      </c>
      <c r="P35" s="13" t="str">
        <f t="shared" si="0"/>
        <v/>
      </c>
      <c r="Q35" s="15" t="str">
        <f t="shared" si="1"/>
        <v/>
      </c>
      <c r="R35" s="16"/>
      <c r="S35" s="16"/>
      <c r="T35" s="17" t="str">
        <f t="shared" si="2"/>
        <v/>
      </c>
      <c r="U35" s="13" t="str">
        <f t="shared" si="3"/>
        <v/>
      </c>
      <c r="V35" s="18" t="str">
        <f>IF(C35="","",IF(_xlfn.MINIFS(入出庫履歴!$K$10:$K$1009,入出庫履歴!$E$10:$E$1009,C35,入出庫履歴!$N$10:$N$1009,"&gt;0")=0,"",_xlfn.MINIFS(入出庫履歴!$K$10:$K$1009,入出庫履歴!$E$10:$E$1009,C35,入出庫履歴!$N$10:$N$1009,"&gt;0")))</f>
        <v/>
      </c>
      <c r="W35" s="17" t="str">
        <f ca="1">IF(OR(V35="",P35&lt;=0),"",IF(V35&lt;TODAY(),"期限切れ",IF(V35-TODAY()&lt;=設定!$C$4,"期限間近","")))</f>
        <v/>
      </c>
      <c r="X35" s="19"/>
      <c r="Y35" s="19"/>
      <c r="Z35" t="str">
        <f>IF(OR(T35="要発注",T35="欠品",T35="在庫異常"),COUNTIF($T$10:T35,"要発注")+COUNTIF($T$10:T35,"欠品")+COUNTIF($T$10:T35,"在庫異常"),"")</f>
        <v/>
      </c>
    </row>
    <row r="36" spans="2:26">
      <c r="B36" s="8" t="str">
        <f>IF(C36="","",COUNTA($C$10:C36))</f>
        <v/>
      </c>
      <c r="C36" s="9"/>
      <c r="D36" s="19"/>
      <c r="E36" s="19"/>
      <c r="F36" s="10"/>
      <c r="G36" s="11"/>
      <c r="H36" s="9"/>
      <c r="I36" s="11"/>
      <c r="J36" s="19"/>
      <c r="K36" s="12"/>
      <c r="L36" s="13" t="str">
        <f>IF(C36="","",SUMIFS(入出庫履歴!$G$10:$G$1009,入出庫履歴!$E$10:$E$1009,C36,入出庫履歴!$D$10:$D$1009,"入庫"))</f>
        <v/>
      </c>
      <c r="M36" s="13" t="str">
        <f>IF(C36="","",SUMIFS(入出庫履歴!$G$10:$G$1009,入出庫履歴!$E$10:$E$1009,C36,入出庫履歴!$D$10:$D$1009,"出庫"))</f>
        <v/>
      </c>
      <c r="N36" s="13" t="str">
        <f>IF(C36="","",SUMIFS(入出庫履歴!$G$10:$G$1009,入出庫履歴!$E$10:$E$1009,C36,入出庫履歴!$D$10:$D$1009,"廃棄"))</f>
        <v/>
      </c>
      <c r="O36" s="14" t="str">
        <f>IF(C36="","",SUMIFS(入出庫履歴!$G$10:$G$1009,入出庫履歴!$E$10:$E$1009,C36,入出庫履歴!$D$10:$D$1009,"棚卸調整"))</f>
        <v/>
      </c>
      <c r="P36" s="13" t="str">
        <f t="shared" si="0"/>
        <v/>
      </c>
      <c r="Q36" s="15" t="str">
        <f t="shared" si="1"/>
        <v/>
      </c>
      <c r="R36" s="16"/>
      <c r="S36" s="16"/>
      <c r="T36" s="17" t="str">
        <f t="shared" si="2"/>
        <v/>
      </c>
      <c r="U36" s="13" t="str">
        <f t="shared" si="3"/>
        <v/>
      </c>
      <c r="V36" s="18" t="str">
        <f>IF(C36="","",IF(_xlfn.MINIFS(入出庫履歴!$K$10:$K$1009,入出庫履歴!$E$10:$E$1009,C36,入出庫履歴!$N$10:$N$1009,"&gt;0")=0,"",_xlfn.MINIFS(入出庫履歴!$K$10:$K$1009,入出庫履歴!$E$10:$E$1009,C36,入出庫履歴!$N$10:$N$1009,"&gt;0")))</f>
        <v/>
      </c>
      <c r="W36" s="17" t="str">
        <f ca="1">IF(OR(V36="",P36&lt;=0),"",IF(V36&lt;TODAY(),"期限切れ",IF(V36-TODAY()&lt;=設定!$C$4,"期限間近","")))</f>
        <v/>
      </c>
      <c r="X36" s="19"/>
      <c r="Y36" s="19"/>
      <c r="Z36" t="str">
        <f>IF(OR(T36="要発注",T36="欠品",T36="在庫異常"),COUNTIF($T$10:T36,"要発注")+COUNTIF($T$10:T36,"欠品")+COUNTIF($T$10:T36,"在庫異常"),"")</f>
        <v/>
      </c>
    </row>
    <row r="37" spans="2:26">
      <c r="B37" s="8" t="str">
        <f>IF(C37="","",COUNTA($C$10:C37))</f>
        <v/>
      </c>
      <c r="C37" s="9"/>
      <c r="D37" s="19"/>
      <c r="E37" s="19"/>
      <c r="F37" s="10"/>
      <c r="G37" s="11"/>
      <c r="H37" s="9"/>
      <c r="I37" s="11"/>
      <c r="J37" s="19"/>
      <c r="K37" s="12"/>
      <c r="L37" s="13" t="str">
        <f>IF(C37="","",SUMIFS(入出庫履歴!$G$10:$G$1009,入出庫履歴!$E$10:$E$1009,C37,入出庫履歴!$D$10:$D$1009,"入庫"))</f>
        <v/>
      </c>
      <c r="M37" s="13" t="str">
        <f>IF(C37="","",SUMIFS(入出庫履歴!$G$10:$G$1009,入出庫履歴!$E$10:$E$1009,C37,入出庫履歴!$D$10:$D$1009,"出庫"))</f>
        <v/>
      </c>
      <c r="N37" s="13" t="str">
        <f>IF(C37="","",SUMIFS(入出庫履歴!$G$10:$G$1009,入出庫履歴!$E$10:$E$1009,C37,入出庫履歴!$D$10:$D$1009,"廃棄"))</f>
        <v/>
      </c>
      <c r="O37" s="14" t="str">
        <f>IF(C37="","",SUMIFS(入出庫履歴!$G$10:$G$1009,入出庫履歴!$E$10:$E$1009,C37,入出庫履歴!$D$10:$D$1009,"棚卸調整"))</f>
        <v/>
      </c>
      <c r="P37" s="13" t="str">
        <f t="shared" si="0"/>
        <v/>
      </c>
      <c r="Q37" s="15" t="str">
        <f t="shared" si="1"/>
        <v/>
      </c>
      <c r="R37" s="16"/>
      <c r="S37" s="16"/>
      <c r="T37" s="17" t="str">
        <f t="shared" si="2"/>
        <v/>
      </c>
      <c r="U37" s="13" t="str">
        <f t="shared" si="3"/>
        <v/>
      </c>
      <c r="V37" s="18" t="str">
        <f>IF(C37="","",IF(_xlfn.MINIFS(入出庫履歴!$K$10:$K$1009,入出庫履歴!$E$10:$E$1009,C37,入出庫履歴!$N$10:$N$1009,"&gt;0")=0,"",_xlfn.MINIFS(入出庫履歴!$K$10:$K$1009,入出庫履歴!$E$10:$E$1009,C37,入出庫履歴!$N$10:$N$1009,"&gt;0")))</f>
        <v/>
      </c>
      <c r="W37" s="17" t="str">
        <f ca="1">IF(OR(V37="",P37&lt;=0),"",IF(V37&lt;TODAY(),"期限切れ",IF(V37-TODAY()&lt;=設定!$C$4,"期限間近","")))</f>
        <v/>
      </c>
      <c r="X37" s="19"/>
      <c r="Y37" s="19"/>
      <c r="Z37" t="str">
        <f>IF(OR(T37="要発注",T37="欠品",T37="在庫異常"),COUNTIF($T$10:T37,"要発注")+COUNTIF($T$10:T37,"欠品")+COUNTIF($T$10:T37,"在庫異常"),"")</f>
        <v/>
      </c>
    </row>
    <row r="38" spans="2:26">
      <c r="B38" s="8" t="str">
        <f>IF(C38="","",COUNTA($C$10:C38))</f>
        <v/>
      </c>
      <c r="C38" s="9"/>
      <c r="D38" s="19"/>
      <c r="E38" s="19"/>
      <c r="F38" s="10"/>
      <c r="G38" s="11"/>
      <c r="H38" s="9"/>
      <c r="I38" s="11"/>
      <c r="J38" s="19"/>
      <c r="K38" s="12"/>
      <c r="L38" s="13" t="str">
        <f>IF(C38="","",SUMIFS(入出庫履歴!$G$10:$G$1009,入出庫履歴!$E$10:$E$1009,C38,入出庫履歴!$D$10:$D$1009,"入庫"))</f>
        <v/>
      </c>
      <c r="M38" s="13" t="str">
        <f>IF(C38="","",SUMIFS(入出庫履歴!$G$10:$G$1009,入出庫履歴!$E$10:$E$1009,C38,入出庫履歴!$D$10:$D$1009,"出庫"))</f>
        <v/>
      </c>
      <c r="N38" s="13" t="str">
        <f>IF(C38="","",SUMIFS(入出庫履歴!$G$10:$G$1009,入出庫履歴!$E$10:$E$1009,C38,入出庫履歴!$D$10:$D$1009,"廃棄"))</f>
        <v/>
      </c>
      <c r="O38" s="14" t="str">
        <f>IF(C38="","",SUMIFS(入出庫履歴!$G$10:$G$1009,入出庫履歴!$E$10:$E$1009,C38,入出庫履歴!$D$10:$D$1009,"棚卸調整"))</f>
        <v/>
      </c>
      <c r="P38" s="13" t="str">
        <f t="shared" si="0"/>
        <v/>
      </c>
      <c r="Q38" s="15" t="str">
        <f t="shared" si="1"/>
        <v/>
      </c>
      <c r="R38" s="16"/>
      <c r="S38" s="16"/>
      <c r="T38" s="17" t="str">
        <f t="shared" si="2"/>
        <v/>
      </c>
      <c r="U38" s="13" t="str">
        <f t="shared" si="3"/>
        <v/>
      </c>
      <c r="V38" s="18" t="str">
        <f>IF(C38="","",IF(_xlfn.MINIFS(入出庫履歴!$K$10:$K$1009,入出庫履歴!$E$10:$E$1009,C38,入出庫履歴!$N$10:$N$1009,"&gt;0")=0,"",_xlfn.MINIFS(入出庫履歴!$K$10:$K$1009,入出庫履歴!$E$10:$E$1009,C38,入出庫履歴!$N$10:$N$1009,"&gt;0")))</f>
        <v/>
      </c>
      <c r="W38" s="17" t="str">
        <f ca="1">IF(OR(V38="",P38&lt;=0),"",IF(V38&lt;TODAY(),"期限切れ",IF(V38-TODAY()&lt;=設定!$C$4,"期限間近","")))</f>
        <v/>
      </c>
      <c r="X38" s="19"/>
      <c r="Y38" s="19"/>
      <c r="Z38" t="str">
        <f>IF(OR(T38="要発注",T38="欠品",T38="在庫異常"),COUNTIF($T$10:T38,"要発注")+COUNTIF($T$10:T38,"欠品")+COUNTIF($T$10:T38,"在庫異常"),"")</f>
        <v/>
      </c>
    </row>
    <row r="39" spans="2:26">
      <c r="B39" s="8" t="str">
        <f>IF(C39="","",COUNTA($C$10:C39))</f>
        <v/>
      </c>
      <c r="C39" s="9"/>
      <c r="D39" s="19"/>
      <c r="E39" s="19"/>
      <c r="F39" s="10"/>
      <c r="G39" s="11"/>
      <c r="H39" s="9"/>
      <c r="I39" s="11"/>
      <c r="J39" s="19"/>
      <c r="K39" s="12"/>
      <c r="L39" s="13" t="str">
        <f>IF(C39="","",SUMIFS(入出庫履歴!$G$10:$G$1009,入出庫履歴!$E$10:$E$1009,C39,入出庫履歴!$D$10:$D$1009,"入庫"))</f>
        <v/>
      </c>
      <c r="M39" s="13" t="str">
        <f>IF(C39="","",SUMIFS(入出庫履歴!$G$10:$G$1009,入出庫履歴!$E$10:$E$1009,C39,入出庫履歴!$D$10:$D$1009,"出庫"))</f>
        <v/>
      </c>
      <c r="N39" s="13" t="str">
        <f>IF(C39="","",SUMIFS(入出庫履歴!$G$10:$G$1009,入出庫履歴!$E$10:$E$1009,C39,入出庫履歴!$D$10:$D$1009,"廃棄"))</f>
        <v/>
      </c>
      <c r="O39" s="14" t="str">
        <f>IF(C39="","",SUMIFS(入出庫履歴!$G$10:$G$1009,入出庫履歴!$E$10:$E$1009,C39,入出庫履歴!$D$10:$D$1009,"棚卸調整"))</f>
        <v/>
      </c>
      <c r="P39" s="13" t="str">
        <f t="shared" si="0"/>
        <v/>
      </c>
      <c r="Q39" s="15" t="str">
        <f t="shared" si="1"/>
        <v/>
      </c>
      <c r="R39" s="16"/>
      <c r="S39" s="16"/>
      <c r="T39" s="17" t="str">
        <f t="shared" si="2"/>
        <v/>
      </c>
      <c r="U39" s="13" t="str">
        <f t="shared" si="3"/>
        <v/>
      </c>
      <c r="V39" s="18" t="str">
        <f>IF(C39="","",IF(_xlfn.MINIFS(入出庫履歴!$K$10:$K$1009,入出庫履歴!$E$10:$E$1009,C39,入出庫履歴!$N$10:$N$1009,"&gt;0")=0,"",_xlfn.MINIFS(入出庫履歴!$K$10:$K$1009,入出庫履歴!$E$10:$E$1009,C39,入出庫履歴!$N$10:$N$1009,"&gt;0")))</f>
        <v/>
      </c>
      <c r="W39" s="17" t="str">
        <f ca="1">IF(OR(V39="",P39&lt;=0),"",IF(V39&lt;TODAY(),"期限切れ",IF(V39-TODAY()&lt;=設定!$C$4,"期限間近","")))</f>
        <v/>
      </c>
      <c r="X39" s="19"/>
      <c r="Y39" s="19"/>
      <c r="Z39" t="str">
        <f>IF(OR(T39="要発注",T39="欠品",T39="在庫異常"),COUNTIF($T$10:T39,"要発注")+COUNTIF($T$10:T39,"欠品")+COUNTIF($T$10:T39,"在庫異常"),"")</f>
        <v/>
      </c>
    </row>
    <row r="40" spans="2:26">
      <c r="B40" s="8" t="str">
        <f>IF(C40="","",COUNTA($C$10:C40))</f>
        <v/>
      </c>
      <c r="C40" s="9"/>
      <c r="D40" s="19"/>
      <c r="E40" s="19"/>
      <c r="F40" s="10"/>
      <c r="G40" s="11"/>
      <c r="H40" s="9"/>
      <c r="I40" s="11"/>
      <c r="J40" s="19"/>
      <c r="K40" s="12"/>
      <c r="L40" s="13" t="str">
        <f>IF(C40="","",SUMIFS(入出庫履歴!$G$10:$G$1009,入出庫履歴!$E$10:$E$1009,C40,入出庫履歴!$D$10:$D$1009,"入庫"))</f>
        <v/>
      </c>
      <c r="M40" s="13" t="str">
        <f>IF(C40="","",SUMIFS(入出庫履歴!$G$10:$G$1009,入出庫履歴!$E$10:$E$1009,C40,入出庫履歴!$D$10:$D$1009,"出庫"))</f>
        <v/>
      </c>
      <c r="N40" s="13" t="str">
        <f>IF(C40="","",SUMIFS(入出庫履歴!$G$10:$G$1009,入出庫履歴!$E$10:$E$1009,C40,入出庫履歴!$D$10:$D$1009,"廃棄"))</f>
        <v/>
      </c>
      <c r="O40" s="14" t="str">
        <f>IF(C40="","",SUMIFS(入出庫履歴!$G$10:$G$1009,入出庫履歴!$E$10:$E$1009,C40,入出庫履歴!$D$10:$D$1009,"棚卸調整"))</f>
        <v/>
      </c>
      <c r="P40" s="13" t="str">
        <f t="shared" si="0"/>
        <v/>
      </c>
      <c r="Q40" s="15" t="str">
        <f t="shared" si="1"/>
        <v/>
      </c>
      <c r="R40" s="16"/>
      <c r="S40" s="16"/>
      <c r="T40" s="17" t="str">
        <f t="shared" si="2"/>
        <v/>
      </c>
      <c r="U40" s="13" t="str">
        <f t="shared" si="3"/>
        <v/>
      </c>
      <c r="V40" s="18" t="str">
        <f>IF(C40="","",IF(_xlfn.MINIFS(入出庫履歴!$K$10:$K$1009,入出庫履歴!$E$10:$E$1009,C40,入出庫履歴!$N$10:$N$1009,"&gt;0")=0,"",_xlfn.MINIFS(入出庫履歴!$K$10:$K$1009,入出庫履歴!$E$10:$E$1009,C40,入出庫履歴!$N$10:$N$1009,"&gt;0")))</f>
        <v/>
      </c>
      <c r="W40" s="17" t="str">
        <f ca="1">IF(OR(V40="",P40&lt;=0),"",IF(V40&lt;TODAY(),"期限切れ",IF(V40-TODAY()&lt;=設定!$C$4,"期限間近","")))</f>
        <v/>
      </c>
      <c r="X40" s="19"/>
      <c r="Y40" s="19"/>
      <c r="Z40" t="str">
        <f>IF(OR(T40="要発注",T40="欠品",T40="在庫異常"),COUNTIF($T$10:T40,"要発注")+COUNTIF($T$10:T40,"欠品")+COUNTIF($T$10:T40,"在庫異常"),"")</f>
        <v/>
      </c>
    </row>
    <row r="41" spans="2:26">
      <c r="B41" s="8" t="str">
        <f>IF(C41="","",COUNTA($C$10:C41))</f>
        <v/>
      </c>
      <c r="C41" s="9"/>
      <c r="D41" s="19"/>
      <c r="E41" s="19"/>
      <c r="F41" s="10"/>
      <c r="G41" s="11"/>
      <c r="H41" s="9"/>
      <c r="I41" s="11"/>
      <c r="J41" s="19"/>
      <c r="K41" s="12"/>
      <c r="L41" s="13" t="str">
        <f>IF(C41="","",SUMIFS(入出庫履歴!$G$10:$G$1009,入出庫履歴!$E$10:$E$1009,C41,入出庫履歴!$D$10:$D$1009,"入庫"))</f>
        <v/>
      </c>
      <c r="M41" s="13" t="str">
        <f>IF(C41="","",SUMIFS(入出庫履歴!$G$10:$G$1009,入出庫履歴!$E$10:$E$1009,C41,入出庫履歴!$D$10:$D$1009,"出庫"))</f>
        <v/>
      </c>
      <c r="N41" s="13" t="str">
        <f>IF(C41="","",SUMIFS(入出庫履歴!$G$10:$G$1009,入出庫履歴!$E$10:$E$1009,C41,入出庫履歴!$D$10:$D$1009,"廃棄"))</f>
        <v/>
      </c>
      <c r="O41" s="14" t="str">
        <f>IF(C41="","",SUMIFS(入出庫履歴!$G$10:$G$1009,入出庫履歴!$E$10:$E$1009,C41,入出庫履歴!$D$10:$D$1009,"棚卸調整"))</f>
        <v/>
      </c>
      <c r="P41" s="13" t="str">
        <f t="shared" si="0"/>
        <v/>
      </c>
      <c r="Q41" s="15" t="str">
        <f t="shared" si="1"/>
        <v/>
      </c>
      <c r="R41" s="16"/>
      <c r="S41" s="16"/>
      <c r="T41" s="17" t="str">
        <f t="shared" si="2"/>
        <v/>
      </c>
      <c r="U41" s="13" t="str">
        <f t="shared" si="3"/>
        <v/>
      </c>
      <c r="V41" s="18" t="str">
        <f>IF(C41="","",IF(_xlfn.MINIFS(入出庫履歴!$K$10:$K$1009,入出庫履歴!$E$10:$E$1009,C41,入出庫履歴!$N$10:$N$1009,"&gt;0")=0,"",_xlfn.MINIFS(入出庫履歴!$K$10:$K$1009,入出庫履歴!$E$10:$E$1009,C41,入出庫履歴!$N$10:$N$1009,"&gt;0")))</f>
        <v/>
      </c>
      <c r="W41" s="17" t="str">
        <f ca="1">IF(OR(V41="",P41&lt;=0),"",IF(V41&lt;TODAY(),"期限切れ",IF(V41-TODAY()&lt;=設定!$C$4,"期限間近","")))</f>
        <v/>
      </c>
      <c r="X41" s="19"/>
      <c r="Y41" s="19"/>
      <c r="Z41" t="str">
        <f>IF(OR(T41="要発注",T41="欠品",T41="在庫異常"),COUNTIF($T$10:T41,"要発注")+COUNTIF($T$10:T41,"欠品")+COUNTIF($T$10:T41,"在庫異常"),"")</f>
        <v/>
      </c>
    </row>
    <row r="42" spans="2:26">
      <c r="B42" s="8" t="str">
        <f>IF(C42="","",COUNTA($C$10:C42))</f>
        <v/>
      </c>
      <c r="C42" s="9"/>
      <c r="D42" s="19"/>
      <c r="E42" s="19"/>
      <c r="F42" s="10"/>
      <c r="G42" s="11"/>
      <c r="H42" s="9"/>
      <c r="I42" s="11"/>
      <c r="J42" s="19"/>
      <c r="K42" s="12"/>
      <c r="L42" s="13" t="str">
        <f>IF(C42="","",SUMIFS(入出庫履歴!$G$10:$G$1009,入出庫履歴!$E$10:$E$1009,C42,入出庫履歴!$D$10:$D$1009,"入庫"))</f>
        <v/>
      </c>
      <c r="M42" s="13" t="str">
        <f>IF(C42="","",SUMIFS(入出庫履歴!$G$10:$G$1009,入出庫履歴!$E$10:$E$1009,C42,入出庫履歴!$D$10:$D$1009,"出庫"))</f>
        <v/>
      </c>
      <c r="N42" s="13" t="str">
        <f>IF(C42="","",SUMIFS(入出庫履歴!$G$10:$G$1009,入出庫履歴!$E$10:$E$1009,C42,入出庫履歴!$D$10:$D$1009,"廃棄"))</f>
        <v/>
      </c>
      <c r="O42" s="14" t="str">
        <f>IF(C42="","",SUMIFS(入出庫履歴!$G$10:$G$1009,入出庫履歴!$E$10:$E$1009,C42,入出庫履歴!$D$10:$D$1009,"棚卸調整"))</f>
        <v/>
      </c>
      <c r="P42" s="13" t="str">
        <f t="shared" si="0"/>
        <v/>
      </c>
      <c r="Q42" s="15" t="str">
        <f t="shared" si="1"/>
        <v/>
      </c>
      <c r="R42" s="16"/>
      <c r="S42" s="16"/>
      <c r="T42" s="17" t="str">
        <f t="shared" si="2"/>
        <v/>
      </c>
      <c r="U42" s="13" t="str">
        <f t="shared" si="3"/>
        <v/>
      </c>
      <c r="V42" s="18" t="str">
        <f>IF(C42="","",IF(_xlfn.MINIFS(入出庫履歴!$K$10:$K$1009,入出庫履歴!$E$10:$E$1009,C42,入出庫履歴!$N$10:$N$1009,"&gt;0")=0,"",_xlfn.MINIFS(入出庫履歴!$K$10:$K$1009,入出庫履歴!$E$10:$E$1009,C42,入出庫履歴!$N$10:$N$1009,"&gt;0")))</f>
        <v/>
      </c>
      <c r="W42" s="17" t="str">
        <f ca="1">IF(OR(V42="",P42&lt;=0),"",IF(V42&lt;TODAY(),"期限切れ",IF(V42-TODAY()&lt;=設定!$C$4,"期限間近","")))</f>
        <v/>
      </c>
      <c r="X42" s="19"/>
      <c r="Y42" s="19"/>
      <c r="Z42" t="str">
        <f>IF(OR(T42="要発注",T42="欠品",T42="在庫異常"),COUNTIF($T$10:T42,"要発注")+COUNTIF($T$10:T42,"欠品")+COUNTIF($T$10:T42,"在庫異常"),"")</f>
        <v/>
      </c>
    </row>
    <row r="43" spans="2:26">
      <c r="B43" s="8" t="str">
        <f>IF(C43="","",COUNTA($C$10:C43))</f>
        <v/>
      </c>
      <c r="C43" s="9"/>
      <c r="D43" s="19"/>
      <c r="E43" s="19"/>
      <c r="F43" s="10"/>
      <c r="G43" s="11"/>
      <c r="H43" s="9"/>
      <c r="I43" s="11"/>
      <c r="J43" s="19"/>
      <c r="K43" s="12"/>
      <c r="L43" s="13" t="str">
        <f>IF(C43="","",SUMIFS(入出庫履歴!$G$10:$G$1009,入出庫履歴!$E$10:$E$1009,C43,入出庫履歴!$D$10:$D$1009,"入庫"))</f>
        <v/>
      </c>
      <c r="M43" s="13" t="str">
        <f>IF(C43="","",SUMIFS(入出庫履歴!$G$10:$G$1009,入出庫履歴!$E$10:$E$1009,C43,入出庫履歴!$D$10:$D$1009,"出庫"))</f>
        <v/>
      </c>
      <c r="N43" s="13" t="str">
        <f>IF(C43="","",SUMIFS(入出庫履歴!$G$10:$G$1009,入出庫履歴!$E$10:$E$1009,C43,入出庫履歴!$D$10:$D$1009,"廃棄"))</f>
        <v/>
      </c>
      <c r="O43" s="14" t="str">
        <f>IF(C43="","",SUMIFS(入出庫履歴!$G$10:$G$1009,入出庫履歴!$E$10:$E$1009,C43,入出庫履歴!$D$10:$D$1009,"棚卸調整"))</f>
        <v/>
      </c>
      <c r="P43" s="13" t="str">
        <f t="shared" si="0"/>
        <v/>
      </c>
      <c r="Q43" s="15" t="str">
        <f t="shared" si="1"/>
        <v/>
      </c>
      <c r="R43" s="16"/>
      <c r="S43" s="16"/>
      <c r="T43" s="17" t="str">
        <f t="shared" si="2"/>
        <v/>
      </c>
      <c r="U43" s="13" t="str">
        <f t="shared" si="3"/>
        <v/>
      </c>
      <c r="V43" s="18" t="str">
        <f>IF(C43="","",IF(_xlfn.MINIFS(入出庫履歴!$K$10:$K$1009,入出庫履歴!$E$10:$E$1009,C43,入出庫履歴!$N$10:$N$1009,"&gt;0")=0,"",_xlfn.MINIFS(入出庫履歴!$K$10:$K$1009,入出庫履歴!$E$10:$E$1009,C43,入出庫履歴!$N$10:$N$1009,"&gt;0")))</f>
        <v/>
      </c>
      <c r="W43" s="17" t="str">
        <f ca="1">IF(OR(V43="",P43&lt;=0),"",IF(V43&lt;TODAY(),"期限切れ",IF(V43-TODAY()&lt;=設定!$C$4,"期限間近","")))</f>
        <v/>
      </c>
      <c r="X43" s="19"/>
      <c r="Y43" s="19"/>
      <c r="Z43" t="str">
        <f>IF(OR(T43="要発注",T43="欠品",T43="在庫異常"),COUNTIF($T$10:T43,"要発注")+COUNTIF($T$10:T43,"欠品")+COUNTIF($T$10:T43,"在庫異常"),"")</f>
        <v/>
      </c>
    </row>
    <row r="44" spans="2:26">
      <c r="B44" s="8" t="str">
        <f>IF(C44="","",COUNTA($C$10:C44))</f>
        <v/>
      </c>
      <c r="C44" s="9"/>
      <c r="D44" s="19"/>
      <c r="E44" s="19"/>
      <c r="F44" s="10"/>
      <c r="G44" s="11"/>
      <c r="H44" s="9"/>
      <c r="I44" s="11"/>
      <c r="J44" s="19"/>
      <c r="K44" s="12"/>
      <c r="L44" s="13" t="str">
        <f>IF(C44="","",SUMIFS(入出庫履歴!$G$10:$G$1009,入出庫履歴!$E$10:$E$1009,C44,入出庫履歴!$D$10:$D$1009,"入庫"))</f>
        <v/>
      </c>
      <c r="M44" s="13" t="str">
        <f>IF(C44="","",SUMIFS(入出庫履歴!$G$10:$G$1009,入出庫履歴!$E$10:$E$1009,C44,入出庫履歴!$D$10:$D$1009,"出庫"))</f>
        <v/>
      </c>
      <c r="N44" s="13" t="str">
        <f>IF(C44="","",SUMIFS(入出庫履歴!$G$10:$G$1009,入出庫履歴!$E$10:$E$1009,C44,入出庫履歴!$D$10:$D$1009,"廃棄"))</f>
        <v/>
      </c>
      <c r="O44" s="14" t="str">
        <f>IF(C44="","",SUMIFS(入出庫履歴!$G$10:$G$1009,入出庫履歴!$E$10:$E$1009,C44,入出庫履歴!$D$10:$D$1009,"棚卸調整"))</f>
        <v/>
      </c>
      <c r="P44" s="13" t="str">
        <f t="shared" si="0"/>
        <v/>
      </c>
      <c r="Q44" s="15" t="str">
        <f t="shared" si="1"/>
        <v/>
      </c>
      <c r="R44" s="16"/>
      <c r="S44" s="16"/>
      <c r="T44" s="17" t="str">
        <f t="shared" si="2"/>
        <v/>
      </c>
      <c r="U44" s="13" t="str">
        <f t="shared" si="3"/>
        <v/>
      </c>
      <c r="V44" s="18" t="str">
        <f>IF(C44="","",IF(_xlfn.MINIFS(入出庫履歴!$K$10:$K$1009,入出庫履歴!$E$10:$E$1009,C44,入出庫履歴!$N$10:$N$1009,"&gt;0")=0,"",_xlfn.MINIFS(入出庫履歴!$K$10:$K$1009,入出庫履歴!$E$10:$E$1009,C44,入出庫履歴!$N$10:$N$1009,"&gt;0")))</f>
        <v/>
      </c>
      <c r="W44" s="17" t="str">
        <f ca="1">IF(OR(V44="",P44&lt;=0),"",IF(V44&lt;TODAY(),"期限切れ",IF(V44-TODAY()&lt;=設定!$C$4,"期限間近","")))</f>
        <v/>
      </c>
      <c r="X44" s="19"/>
      <c r="Y44" s="19"/>
      <c r="Z44" t="str">
        <f>IF(OR(T44="要発注",T44="欠品",T44="在庫異常"),COUNTIF($T$10:T44,"要発注")+COUNTIF($T$10:T44,"欠品")+COUNTIF($T$10:T44,"在庫異常"),"")</f>
        <v/>
      </c>
    </row>
    <row r="45" spans="2:26">
      <c r="B45" s="8" t="str">
        <f>IF(C45="","",COUNTA($C$10:C45))</f>
        <v/>
      </c>
      <c r="C45" s="9"/>
      <c r="D45" s="19"/>
      <c r="E45" s="19"/>
      <c r="F45" s="10"/>
      <c r="G45" s="11"/>
      <c r="H45" s="9"/>
      <c r="I45" s="11"/>
      <c r="J45" s="19"/>
      <c r="K45" s="12"/>
      <c r="L45" s="13" t="str">
        <f>IF(C45="","",SUMIFS(入出庫履歴!$G$10:$G$1009,入出庫履歴!$E$10:$E$1009,C45,入出庫履歴!$D$10:$D$1009,"入庫"))</f>
        <v/>
      </c>
      <c r="M45" s="13" t="str">
        <f>IF(C45="","",SUMIFS(入出庫履歴!$G$10:$G$1009,入出庫履歴!$E$10:$E$1009,C45,入出庫履歴!$D$10:$D$1009,"出庫"))</f>
        <v/>
      </c>
      <c r="N45" s="13" t="str">
        <f>IF(C45="","",SUMIFS(入出庫履歴!$G$10:$G$1009,入出庫履歴!$E$10:$E$1009,C45,入出庫履歴!$D$10:$D$1009,"廃棄"))</f>
        <v/>
      </c>
      <c r="O45" s="14" t="str">
        <f>IF(C45="","",SUMIFS(入出庫履歴!$G$10:$G$1009,入出庫履歴!$E$10:$E$1009,C45,入出庫履歴!$D$10:$D$1009,"棚卸調整"))</f>
        <v/>
      </c>
      <c r="P45" s="13" t="str">
        <f t="shared" si="0"/>
        <v/>
      </c>
      <c r="Q45" s="15" t="str">
        <f t="shared" si="1"/>
        <v/>
      </c>
      <c r="R45" s="16"/>
      <c r="S45" s="16"/>
      <c r="T45" s="17" t="str">
        <f t="shared" si="2"/>
        <v/>
      </c>
      <c r="U45" s="13" t="str">
        <f t="shared" si="3"/>
        <v/>
      </c>
      <c r="V45" s="18" t="str">
        <f>IF(C45="","",IF(_xlfn.MINIFS(入出庫履歴!$K$10:$K$1009,入出庫履歴!$E$10:$E$1009,C45,入出庫履歴!$N$10:$N$1009,"&gt;0")=0,"",_xlfn.MINIFS(入出庫履歴!$K$10:$K$1009,入出庫履歴!$E$10:$E$1009,C45,入出庫履歴!$N$10:$N$1009,"&gt;0")))</f>
        <v/>
      </c>
      <c r="W45" s="17" t="str">
        <f ca="1">IF(OR(V45="",P45&lt;=0),"",IF(V45&lt;TODAY(),"期限切れ",IF(V45-TODAY()&lt;=設定!$C$4,"期限間近","")))</f>
        <v/>
      </c>
      <c r="X45" s="19"/>
      <c r="Y45" s="19"/>
      <c r="Z45" t="str">
        <f>IF(OR(T45="要発注",T45="欠品",T45="在庫異常"),COUNTIF($T$10:T45,"要発注")+COUNTIF($T$10:T45,"欠品")+COUNTIF($T$10:T45,"在庫異常"),"")</f>
        <v/>
      </c>
    </row>
    <row r="46" spans="2:26">
      <c r="B46" s="8" t="str">
        <f>IF(C46="","",COUNTA($C$10:C46))</f>
        <v/>
      </c>
      <c r="C46" s="9"/>
      <c r="D46" s="19"/>
      <c r="E46" s="19"/>
      <c r="F46" s="10"/>
      <c r="G46" s="11"/>
      <c r="H46" s="9"/>
      <c r="I46" s="11"/>
      <c r="J46" s="19"/>
      <c r="K46" s="12"/>
      <c r="L46" s="13" t="str">
        <f>IF(C46="","",SUMIFS(入出庫履歴!$G$10:$G$1009,入出庫履歴!$E$10:$E$1009,C46,入出庫履歴!$D$10:$D$1009,"入庫"))</f>
        <v/>
      </c>
      <c r="M46" s="13" t="str">
        <f>IF(C46="","",SUMIFS(入出庫履歴!$G$10:$G$1009,入出庫履歴!$E$10:$E$1009,C46,入出庫履歴!$D$10:$D$1009,"出庫"))</f>
        <v/>
      </c>
      <c r="N46" s="13" t="str">
        <f>IF(C46="","",SUMIFS(入出庫履歴!$G$10:$G$1009,入出庫履歴!$E$10:$E$1009,C46,入出庫履歴!$D$10:$D$1009,"廃棄"))</f>
        <v/>
      </c>
      <c r="O46" s="14" t="str">
        <f>IF(C46="","",SUMIFS(入出庫履歴!$G$10:$G$1009,入出庫履歴!$E$10:$E$1009,C46,入出庫履歴!$D$10:$D$1009,"棚卸調整"))</f>
        <v/>
      </c>
      <c r="P46" s="13" t="str">
        <f t="shared" si="0"/>
        <v/>
      </c>
      <c r="Q46" s="15" t="str">
        <f t="shared" si="1"/>
        <v/>
      </c>
      <c r="R46" s="16"/>
      <c r="S46" s="16"/>
      <c r="T46" s="17" t="str">
        <f t="shared" si="2"/>
        <v/>
      </c>
      <c r="U46" s="13" t="str">
        <f t="shared" si="3"/>
        <v/>
      </c>
      <c r="V46" s="18" t="str">
        <f>IF(C46="","",IF(_xlfn.MINIFS(入出庫履歴!$K$10:$K$1009,入出庫履歴!$E$10:$E$1009,C46,入出庫履歴!$N$10:$N$1009,"&gt;0")=0,"",_xlfn.MINIFS(入出庫履歴!$K$10:$K$1009,入出庫履歴!$E$10:$E$1009,C46,入出庫履歴!$N$10:$N$1009,"&gt;0")))</f>
        <v/>
      </c>
      <c r="W46" s="17" t="str">
        <f ca="1">IF(OR(V46="",P46&lt;=0),"",IF(V46&lt;TODAY(),"期限切れ",IF(V46-TODAY()&lt;=設定!$C$4,"期限間近","")))</f>
        <v/>
      </c>
      <c r="X46" s="19"/>
      <c r="Y46" s="19"/>
      <c r="Z46" t="str">
        <f>IF(OR(T46="要発注",T46="欠品",T46="在庫異常"),COUNTIF($T$10:T46,"要発注")+COUNTIF($T$10:T46,"欠品")+COUNTIF($T$10:T46,"在庫異常"),"")</f>
        <v/>
      </c>
    </row>
    <row r="47" spans="2:26">
      <c r="B47" s="8" t="str">
        <f>IF(C47="","",COUNTA($C$10:C47))</f>
        <v/>
      </c>
      <c r="C47" s="9"/>
      <c r="D47" s="19"/>
      <c r="E47" s="19"/>
      <c r="F47" s="10"/>
      <c r="G47" s="11"/>
      <c r="H47" s="9"/>
      <c r="I47" s="11"/>
      <c r="J47" s="19"/>
      <c r="K47" s="12"/>
      <c r="L47" s="13" t="str">
        <f>IF(C47="","",SUMIFS(入出庫履歴!$G$10:$G$1009,入出庫履歴!$E$10:$E$1009,C47,入出庫履歴!$D$10:$D$1009,"入庫"))</f>
        <v/>
      </c>
      <c r="M47" s="13" t="str">
        <f>IF(C47="","",SUMIFS(入出庫履歴!$G$10:$G$1009,入出庫履歴!$E$10:$E$1009,C47,入出庫履歴!$D$10:$D$1009,"出庫"))</f>
        <v/>
      </c>
      <c r="N47" s="13" t="str">
        <f>IF(C47="","",SUMIFS(入出庫履歴!$G$10:$G$1009,入出庫履歴!$E$10:$E$1009,C47,入出庫履歴!$D$10:$D$1009,"廃棄"))</f>
        <v/>
      </c>
      <c r="O47" s="14" t="str">
        <f>IF(C47="","",SUMIFS(入出庫履歴!$G$10:$G$1009,入出庫履歴!$E$10:$E$1009,C47,入出庫履歴!$D$10:$D$1009,"棚卸調整"))</f>
        <v/>
      </c>
      <c r="P47" s="13" t="str">
        <f t="shared" si="0"/>
        <v/>
      </c>
      <c r="Q47" s="15" t="str">
        <f t="shared" si="1"/>
        <v/>
      </c>
      <c r="R47" s="16"/>
      <c r="S47" s="16"/>
      <c r="T47" s="17" t="str">
        <f t="shared" si="2"/>
        <v/>
      </c>
      <c r="U47" s="13" t="str">
        <f t="shared" si="3"/>
        <v/>
      </c>
      <c r="V47" s="18" t="str">
        <f>IF(C47="","",IF(_xlfn.MINIFS(入出庫履歴!$K$10:$K$1009,入出庫履歴!$E$10:$E$1009,C47,入出庫履歴!$N$10:$N$1009,"&gt;0")=0,"",_xlfn.MINIFS(入出庫履歴!$K$10:$K$1009,入出庫履歴!$E$10:$E$1009,C47,入出庫履歴!$N$10:$N$1009,"&gt;0")))</f>
        <v/>
      </c>
      <c r="W47" s="17" t="str">
        <f ca="1">IF(OR(V47="",P47&lt;=0),"",IF(V47&lt;TODAY(),"期限切れ",IF(V47-TODAY()&lt;=設定!$C$4,"期限間近","")))</f>
        <v/>
      </c>
      <c r="X47" s="19"/>
      <c r="Y47" s="19"/>
      <c r="Z47" t="str">
        <f>IF(OR(T47="要発注",T47="欠品",T47="在庫異常"),COUNTIF($T$10:T47,"要発注")+COUNTIF($T$10:T47,"欠品")+COUNTIF($T$10:T47,"在庫異常"),"")</f>
        <v/>
      </c>
    </row>
    <row r="48" spans="2:26">
      <c r="B48" s="8" t="str">
        <f>IF(C48="","",COUNTA($C$10:C48))</f>
        <v/>
      </c>
      <c r="C48" s="9"/>
      <c r="D48" s="19"/>
      <c r="E48" s="19"/>
      <c r="F48" s="10"/>
      <c r="G48" s="11"/>
      <c r="H48" s="9"/>
      <c r="I48" s="11"/>
      <c r="J48" s="19"/>
      <c r="K48" s="12"/>
      <c r="L48" s="13" t="str">
        <f>IF(C48="","",SUMIFS(入出庫履歴!$G$10:$G$1009,入出庫履歴!$E$10:$E$1009,C48,入出庫履歴!$D$10:$D$1009,"入庫"))</f>
        <v/>
      </c>
      <c r="M48" s="13" t="str">
        <f>IF(C48="","",SUMIFS(入出庫履歴!$G$10:$G$1009,入出庫履歴!$E$10:$E$1009,C48,入出庫履歴!$D$10:$D$1009,"出庫"))</f>
        <v/>
      </c>
      <c r="N48" s="13" t="str">
        <f>IF(C48="","",SUMIFS(入出庫履歴!$G$10:$G$1009,入出庫履歴!$E$10:$E$1009,C48,入出庫履歴!$D$10:$D$1009,"廃棄"))</f>
        <v/>
      </c>
      <c r="O48" s="14" t="str">
        <f>IF(C48="","",SUMIFS(入出庫履歴!$G$10:$G$1009,入出庫履歴!$E$10:$E$1009,C48,入出庫履歴!$D$10:$D$1009,"棚卸調整"))</f>
        <v/>
      </c>
      <c r="P48" s="13" t="str">
        <f t="shared" si="0"/>
        <v/>
      </c>
      <c r="Q48" s="15" t="str">
        <f t="shared" si="1"/>
        <v/>
      </c>
      <c r="R48" s="16"/>
      <c r="S48" s="16"/>
      <c r="T48" s="17" t="str">
        <f t="shared" si="2"/>
        <v/>
      </c>
      <c r="U48" s="13" t="str">
        <f t="shared" si="3"/>
        <v/>
      </c>
      <c r="V48" s="18" t="str">
        <f>IF(C48="","",IF(_xlfn.MINIFS(入出庫履歴!$K$10:$K$1009,入出庫履歴!$E$10:$E$1009,C48,入出庫履歴!$N$10:$N$1009,"&gt;0")=0,"",_xlfn.MINIFS(入出庫履歴!$K$10:$K$1009,入出庫履歴!$E$10:$E$1009,C48,入出庫履歴!$N$10:$N$1009,"&gt;0")))</f>
        <v/>
      </c>
      <c r="W48" s="17" t="str">
        <f ca="1">IF(OR(V48="",P48&lt;=0),"",IF(V48&lt;TODAY(),"期限切れ",IF(V48-TODAY()&lt;=設定!$C$4,"期限間近","")))</f>
        <v/>
      </c>
      <c r="X48" s="19"/>
      <c r="Y48" s="19"/>
      <c r="Z48" t="str">
        <f>IF(OR(T48="要発注",T48="欠品",T48="在庫異常"),COUNTIF($T$10:T48,"要発注")+COUNTIF($T$10:T48,"欠品")+COUNTIF($T$10:T48,"在庫異常"),"")</f>
        <v/>
      </c>
    </row>
    <row r="49" spans="2:26">
      <c r="B49" s="8" t="str">
        <f>IF(C49="","",COUNTA($C$10:C49))</f>
        <v/>
      </c>
      <c r="C49" s="9"/>
      <c r="D49" s="19"/>
      <c r="E49" s="19"/>
      <c r="F49" s="10"/>
      <c r="G49" s="11"/>
      <c r="H49" s="9"/>
      <c r="I49" s="11"/>
      <c r="J49" s="19"/>
      <c r="K49" s="12"/>
      <c r="L49" s="13" t="str">
        <f>IF(C49="","",SUMIFS(入出庫履歴!$G$10:$G$1009,入出庫履歴!$E$10:$E$1009,C49,入出庫履歴!$D$10:$D$1009,"入庫"))</f>
        <v/>
      </c>
      <c r="M49" s="13" t="str">
        <f>IF(C49="","",SUMIFS(入出庫履歴!$G$10:$G$1009,入出庫履歴!$E$10:$E$1009,C49,入出庫履歴!$D$10:$D$1009,"出庫"))</f>
        <v/>
      </c>
      <c r="N49" s="13" t="str">
        <f>IF(C49="","",SUMIFS(入出庫履歴!$G$10:$G$1009,入出庫履歴!$E$10:$E$1009,C49,入出庫履歴!$D$10:$D$1009,"廃棄"))</f>
        <v/>
      </c>
      <c r="O49" s="14" t="str">
        <f>IF(C49="","",SUMIFS(入出庫履歴!$G$10:$G$1009,入出庫履歴!$E$10:$E$1009,C49,入出庫履歴!$D$10:$D$1009,"棚卸調整"))</f>
        <v/>
      </c>
      <c r="P49" s="13" t="str">
        <f t="shared" si="0"/>
        <v/>
      </c>
      <c r="Q49" s="15" t="str">
        <f t="shared" si="1"/>
        <v/>
      </c>
      <c r="R49" s="16"/>
      <c r="S49" s="16"/>
      <c r="T49" s="17" t="str">
        <f t="shared" si="2"/>
        <v/>
      </c>
      <c r="U49" s="13" t="str">
        <f t="shared" si="3"/>
        <v/>
      </c>
      <c r="V49" s="18" t="str">
        <f>IF(C49="","",IF(_xlfn.MINIFS(入出庫履歴!$K$10:$K$1009,入出庫履歴!$E$10:$E$1009,C49,入出庫履歴!$N$10:$N$1009,"&gt;0")=0,"",_xlfn.MINIFS(入出庫履歴!$K$10:$K$1009,入出庫履歴!$E$10:$E$1009,C49,入出庫履歴!$N$10:$N$1009,"&gt;0")))</f>
        <v/>
      </c>
      <c r="W49" s="17" t="str">
        <f ca="1">IF(OR(V49="",P49&lt;=0),"",IF(V49&lt;TODAY(),"期限切れ",IF(V49-TODAY()&lt;=設定!$C$4,"期限間近","")))</f>
        <v/>
      </c>
      <c r="X49" s="19"/>
      <c r="Y49" s="19"/>
      <c r="Z49" t="str">
        <f>IF(OR(T49="要発注",T49="欠品",T49="在庫異常"),COUNTIF($T$10:T49,"要発注")+COUNTIF($T$10:T49,"欠品")+COUNTIF($T$10:T49,"在庫異常"),"")</f>
        <v/>
      </c>
    </row>
    <row r="50" spans="2:26">
      <c r="B50" s="8" t="str">
        <f>IF(C50="","",COUNTA($C$10:C50))</f>
        <v/>
      </c>
      <c r="C50" s="9"/>
      <c r="D50" s="19"/>
      <c r="E50" s="19"/>
      <c r="F50" s="10"/>
      <c r="G50" s="11"/>
      <c r="H50" s="9"/>
      <c r="I50" s="11"/>
      <c r="J50" s="19"/>
      <c r="K50" s="12"/>
      <c r="L50" s="13" t="str">
        <f>IF(C50="","",SUMIFS(入出庫履歴!$G$10:$G$1009,入出庫履歴!$E$10:$E$1009,C50,入出庫履歴!$D$10:$D$1009,"入庫"))</f>
        <v/>
      </c>
      <c r="M50" s="13" t="str">
        <f>IF(C50="","",SUMIFS(入出庫履歴!$G$10:$G$1009,入出庫履歴!$E$10:$E$1009,C50,入出庫履歴!$D$10:$D$1009,"出庫"))</f>
        <v/>
      </c>
      <c r="N50" s="13" t="str">
        <f>IF(C50="","",SUMIFS(入出庫履歴!$G$10:$G$1009,入出庫履歴!$E$10:$E$1009,C50,入出庫履歴!$D$10:$D$1009,"廃棄"))</f>
        <v/>
      </c>
      <c r="O50" s="14" t="str">
        <f>IF(C50="","",SUMIFS(入出庫履歴!$G$10:$G$1009,入出庫履歴!$E$10:$E$1009,C50,入出庫履歴!$D$10:$D$1009,"棚卸調整"))</f>
        <v/>
      </c>
      <c r="P50" s="13" t="str">
        <f t="shared" si="0"/>
        <v/>
      </c>
      <c r="Q50" s="15" t="str">
        <f t="shared" si="1"/>
        <v/>
      </c>
      <c r="R50" s="16"/>
      <c r="S50" s="16"/>
      <c r="T50" s="17" t="str">
        <f t="shared" si="2"/>
        <v/>
      </c>
      <c r="U50" s="13" t="str">
        <f t="shared" si="3"/>
        <v/>
      </c>
      <c r="V50" s="18" t="str">
        <f>IF(C50="","",IF(_xlfn.MINIFS(入出庫履歴!$K$10:$K$1009,入出庫履歴!$E$10:$E$1009,C50,入出庫履歴!$N$10:$N$1009,"&gt;0")=0,"",_xlfn.MINIFS(入出庫履歴!$K$10:$K$1009,入出庫履歴!$E$10:$E$1009,C50,入出庫履歴!$N$10:$N$1009,"&gt;0")))</f>
        <v/>
      </c>
      <c r="W50" s="17" t="str">
        <f ca="1">IF(OR(V50="",P50&lt;=0),"",IF(V50&lt;TODAY(),"期限切れ",IF(V50-TODAY()&lt;=設定!$C$4,"期限間近","")))</f>
        <v/>
      </c>
      <c r="X50" s="19"/>
      <c r="Y50" s="19"/>
      <c r="Z50" t="str">
        <f>IF(OR(T50="要発注",T50="欠品",T50="在庫異常"),COUNTIF($T$10:T50,"要発注")+COUNTIF($T$10:T50,"欠品")+COUNTIF($T$10:T50,"在庫異常"),"")</f>
        <v/>
      </c>
    </row>
    <row r="51" spans="2:26">
      <c r="B51" s="8" t="str">
        <f>IF(C51="","",COUNTA($C$10:C51))</f>
        <v/>
      </c>
      <c r="C51" s="9"/>
      <c r="D51" s="19"/>
      <c r="E51" s="19"/>
      <c r="F51" s="10"/>
      <c r="G51" s="11"/>
      <c r="H51" s="9"/>
      <c r="I51" s="11"/>
      <c r="J51" s="19"/>
      <c r="K51" s="12"/>
      <c r="L51" s="13" t="str">
        <f>IF(C51="","",SUMIFS(入出庫履歴!$G$10:$G$1009,入出庫履歴!$E$10:$E$1009,C51,入出庫履歴!$D$10:$D$1009,"入庫"))</f>
        <v/>
      </c>
      <c r="M51" s="13" t="str">
        <f>IF(C51="","",SUMIFS(入出庫履歴!$G$10:$G$1009,入出庫履歴!$E$10:$E$1009,C51,入出庫履歴!$D$10:$D$1009,"出庫"))</f>
        <v/>
      </c>
      <c r="N51" s="13" t="str">
        <f>IF(C51="","",SUMIFS(入出庫履歴!$G$10:$G$1009,入出庫履歴!$E$10:$E$1009,C51,入出庫履歴!$D$10:$D$1009,"廃棄"))</f>
        <v/>
      </c>
      <c r="O51" s="14" t="str">
        <f>IF(C51="","",SUMIFS(入出庫履歴!$G$10:$G$1009,入出庫履歴!$E$10:$E$1009,C51,入出庫履歴!$D$10:$D$1009,"棚卸調整"))</f>
        <v/>
      </c>
      <c r="P51" s="13" t="str">
        <f t="shared" si="0"/>
        <v/>
      </c>
      <c r="Q51" s="15" t="str">
        <f t="shared" si="1"/>
        <v/>
      </c>
      <c r="R51" s="16"/>
      <c r="S51" s="16"/>
      <c r="T51" s="17" t="str">
        <f t="shared" si="2"/>
        <v/>
      </c>
      <c r="U51" s="13" t="str">
        <f t="shared" si="3"/>
        <v/>
      </c>
      <c r="V51" s="18" t="str">
        <f>IF(C51="","",IF(_xlfn.MINIFS(入出庫履歴!$K$10:$K$1009,入出庫履歴!$E$10:$E$1009,C51,入出庫履歴!$N$10:$N$1009,"&gt;0")=0,"",_xlfn.MINIFS(入出庫履歴!$K$10:$K$1009,入出庫履歴!$E$10:$E$1009,C51,入出庫履歴!$N$10:$N$1009,"&gt;0")))</f>
        <v/>
      </c>
      <c r="W51" s="17" t="str">
        <f ca="1">IF(OR(V51="",P51&lt;=0),"",IF(V51&lt;TODAY(),"期限切れ",IF(V51-TODAY()&lt;=設定!$C$4,"期限間近","")))</f>
        <v/>
      </c>
      <c r="X51" s="19"/>
      <c r="Y51" s="19"/>
      <c r="Z51" t="str">
        <f>IF(OR(T51="要発注",T51="欠品",T51="在庫異常"),COUNTIF($T$10:T51,"要発注")+COUNTIF($T$10:T51,"欠品")+COUNTIF($T$10:T51,"在庫異常"),"")</f>
        <v/>
      </c>
    </row>
    <row r="52" spans="2:26">
      <c r="B52" s="8" t="str">
        <f>IF(C52="","",COUNTA($C$10:C52))</f>
        <v/>
      </c>
      <c r="C52" s="9"/>
      <c r="D52" s="19"/>
      <c r="E52" s="19"/>
      <c r="F52" s="10"/>
      <c r="G52" s="11"/>
      <c r="H52" s="9"/>
      <c r="I52" s="11"/>
      <c r="J52" s="19"/>
      <c r="K52" s="12"/>
      <c r="L52" s="13" t="str">
        <f>IF(C52="","",SUMIFS(入出庫履歴!$G$10:$G$1009,入出庫履歴!$E$10:$E$1009,C52,入出庫履歴!$D$10:$D$1009,"入庫"))</f>
        <v/>
      </c>
      <c r="M52" s="13" t="str">
        <f>IF(C52="","",SUMIFS(入出庫履歴!$G$10:$G$1009,入出庫履歴!$E$10:$E$1009,C52,入出庫履歴!$D$10:$D$1009,"出庫"))</f>
        <v/>
      </c>
      <c r="N52" s="13" t="str">
        <f>IF(C52="","",SUMIFS(入出庫履歴!$G$10:$G$1009,入出庫履歴!$E$10:$E$1009,C52,入出庫履歴!$D$10:$D$1009,"廃棄"))</f>
        <v/>
      </c>
      <c r="O52" s="14" t="str">
        <f>IF(C52="","",SUMIFS(入出庫履歴!$G$10:$G$1009,入出庫履歴!$E$10:$E$1009,C52,入出庫履歴!$D$10:$D$1009,"棚卸調整"))</f>
        <v/>
      </c>
      <c r="P52" s="13" t="str">
        <f t="shared" si="0"/>
        <v/>
      </c>
      <c r="Q52" s="15" t="str">
        <f t="shared" si="1"/>
        <v/>
      </c>
      <c r="R52" s="16"/>
      <c r="S52" s="16"/>
      <c r="T52" s="17" t="str">
        <f t="shared" si="2"/>
        <v/>
      </c>
      <c r="U52" s="13" t="str">
        <f t="shared" si="3"/>
        <v/>
      </c>
      <c r="V52" s="18" t="str">
        <f>IF(C52="","",IF(_xlfn.MINIFS(入出庫履歴!$K$10:$K$1009,入出庫履歴!$E$10:$E$1009,C52,入出庫履歴!$N$10:$N$1009,"&gt;0")=0,"",_xlfn.MINIFS(入出庫履歴!$K$10:$K$1009,入出庫履歴!$E$10:$E$1009,C52,入出庫履歴!$N$10:$N$1009,"&gt;0")))</f>
        <v/>
      </c>
      <c r="W52" s="17" t="str">
        <f ca="1">IF(OR(V52="",P52&lt;=0),"",IF(V52&lt;TODAY(),"期限切れ",IF(V52-TODAY()&lt;=設定!$C$4,"期限間近","")))</f>
        <v/>
      </c>
      <c r="X52" s="19"/>
      <c r="Y52" s="19"/>
      <c r="Z52" t="str">
        <f>IF(OR(T52="要発注",T52="欠品",T52="在庫異常"),COUNTIF($T$10:T52,"要発注")+COUNTIF($T$10:T52,"欠品")+COUNTIF($T$10:T52,"在庫異常"),"")</f>
        <v/>
      </c>
    </row>
    <row r="53" spans="2:26">
      <c r="B53" s="8" t="str">
        <f>IF(C53="","",COUNTA($C$10:C53))</f>
        <v/>
      </c>
      <c r="C53" s="9"/>
      <c r="D53" s="19"/>
      <c r="E53" s="19"/>
      <c r="F53" s="10"/>
      <c r="G53" s="11"/>
      <c r="H53" s="9"/>
      <c r="I53" s="11"/>
      <c r="J53" s="19"/>
      <c r="K53" s="12"/>
      <c r="L53" s="13" t="str">
        <f>IF(C53="","",SUMIFS(入出庫履歴!$G$10:$G$1009,入出庫履歴!$E$10:$E$1009,C53,入出庫履歴!$D$10:$D$1009,"入庫"))</f>
        <v/>
      </c>
      <c r="M53" s="13" t="str">
        <f>IF(C53="","",SUMIFS(入出庫履歴!$G$10:$G$1009,入出庫履歴!$E$10:$E$1009,C53,入出庫履歴!$D$10:$D$1009,"出庫"))</f>
        <v/>
      </c>
      <c r="N53" s="13" t="str">
        <f>IF(C53="","",SUMIFS(入出庫履歴!$G$10:$G$1009,入出庫履歴!$E$10:$E$1009,C53,入出庫履歴!$D$10:$D$1009,"廃棄"))</f>
        <v/>
      </c>
      <c r="O53" s="14" t="str">
        <f>IF(C53="","",SUMIFS(入出庫履歴!$G$10:$G$1009,入出庫履歴!$E$10:$E$1009,C53,入出庫履歴!$D$10:$D$1009,"棚卸調整"))</f>
        <v/>
      </c>
      <c r="P53" s="13" t="str">
        <f t="shared" si="0"/>
        <v/>
      </c>
      <c r="Q53" s="15" t="str">
        <f t="shared" si="1"/>
        <v/>
      </c>
      <c r="R53" s="16"/>
      <c r="S53" s="16"/>
      <c r="T53" s="17" t="str">
        <f t="shared" si="2"/>
        <v/>
      </c>
      <c r="U53" s="13" t="str">
        <f t="shared" si="3"/>
        <v/>
      </c>
      <c r="V53" s="18" t="str">
        <f>IF(C53="","",IF(_xlfn.MINIFS(入出庫履歴!$K$10:$K$1009,入出庫履歴!$E$10:$E$1009,C53,入出庫履歴!$N$10:$N$1009,"&gt;0")=0,"",_xlfn.MINIFS(入出庫履歴!$K$10:$K$1009,入出庫履歴!$E$10:$E$1009,C53,入出庫履歴!$N$10:$N$1009,"&gt;0")))</f>
        <v/>
      </c>
      <c r="W53" s="17" t="str">
        <f ca="1">IF(OR(V53="",P53&lt;=0),"",IF(V53&lt;TODAY(),"期限切れ",IF(V53-TODAY()&lt;=設定!$C$4,"期限間近","")))</f>
        <v/>
      </c>
      <c r="X53" s="19"/>
      <c r="Y53" s="19"/>
      <c r="Z53" t="str">
        <f>IF(OR(T53="要発注",T53="欠品",T53="在庫異常"),COUNTIF($T$10:T53,"要発注")+COUNTIF($T$10:T53,"欠品")+COUNTIF($T$10:T53,"在庫異常"),"")</f>
        <v/>
      </c>
    </row>
    <row r="54" spans="2:26">
      <c r="B54" s="8" t="str">
        <f>IF(C54="","",COUNTA($C$10:C54))</f>
        <v/>
      </c>
      <c r="C54" s="9"/>
      <c r="D54" s="19"/>
      <c r="E54" s="19"/>
      <c r="F54" s="10"/>
      <c r="G54" s="11"/>
      <c r="H54" s="9"/>
      <c r="I54" s="11"/>
      <c r="J54" s="19"/>
      <c r="K54" s="12"/>
      <c r="L54" s="13" t="str">
        <f>IF(C54="","",SUMIFS(入出庫履歴!$G$10:$G$1009,入出庫履歴!$E$10:$E$1009,C54,入出庫履歴!$D$10:$D$1009,"入庫"))</f>
        <v/>
      </c>
      <c r="M54" s="13" t="str">
        <f>IF(C54="","",SUMIFS(入出庫履歴!$G$10:$G$1009,入出庫履歴!$E$10:$E$1009,C54,入出庫履歴!$D$10:$D$1009,"出庫"))</f>
        <v/>
      </c>
      <c r="N54" s="13" t="str">
        <f>IF(C54="","",SUMIFS(入出庫履歴!$G$10:$G$1009,入出庫履歴!$E$10:$E$1009,C54,入出庫履歴!$D$10:$D$1009,"廃棄"))</f>
        <v/>
      </c>
      <c r="O54" s="14" t="str">
        <f>IF(C54="","",SUMIFS(入出庫履歴!$G$10:$G$1009,入出庫履歴!$E$10:$E$1009,C54,入出庫履歴!$D$10:$D$1009,"棚卸調整"))</f>
        <v/>
      </c>
      <c r="P54" s="13" t="str">
        <f t="shared" si="0"/>
        <v/>
      </c>
      <c r="Q54" s="15" t="str">
        <f t="shared" si="1"/>
        <v/>
      </c>
      <c r="R54" s="16"/>
      <c r="S54" s="16"/>
      <c r="T54" s="17" t="str">
        <f t="shared" si="2"/>
        <v/>
      </c>
      <c r="U54" s="13" t="str">
        <f t="shared" si="3"/>
        <v/>
      </c>
      <c r="V54" s="18" t="str">
        <f>IF(C54="","",IF(_xlfn.MINIFS(入出庫履歴!$K$10:$K$1009,入出庫履歴!$E$10:$E$1009,C54,入出庫履歴!$N$10:$N$1009,"&gt;0")=0,"",_xlfn.MINIFS(入出庫履歴!$K$10:$K$1009,入出庫履歴!$E$10:$E$1009,C54,入出庫履歴!$N$10:$N$1009,"&gt;0")))</f>
        <v/>
      </c>
      <c r="W54" s="17" t="str">
        <f ca="1">IF(OR(V54="",P54&lt;=0),"",IF(V54&lt;TODAY(),"期限切れ",IF(V54-TODAY()&lt;=設定!$C$4,"期限間近","")))</f>
        <v/>
      </c>
      <c r="X54" s="19"/>
      <c r="Y54" s="19"/>
      <c r="Z54" t="str">
        <f>IF(OR(T54="要発注",T54="欠品",T54="在庫異常"),COUNTIF($T$10:T54,"要発注")+COUNTIF($T$10:T54,"欠品")+COUNTIF($T$10:T54,"在庫異常"),"")</f>
        <v/>
      </c>
    </row>
    <row r="55" spans="2:26">
      <c r="B55" s="8" t="str">
        <f>IF(C55="","",COUNTA($C$10:C55))</f>
        <v/>
      </c>
      <c r="C55" s="9"/>
      <c r="D55" s="19"/>
      <c r="E55" s="19"/>
      <c r="F55" s="10"/>
      <c r="G55" s="11"/>
      <c r="H55" s="9"/>
      <c r="I55" s="11"/>
      <c r="J55" s="19"/>
      <c r="K55" s="12"/>
      <c r="L55" s="13" t="str">
        <f>IF(C55="","",SUMIFS(入出庫履歴!$G$10:$G$1009,入出庫履歴!$E$10:$E$1009,C55,入出庫履歴!$D$10:$D$1009,"入庫"))</f>
        <v/>
      </c>
      <c r="M55" s="13" t="str">
        <f>IF(C55="","",SUMIFS(入出庫履歴!$G$10:$G$1009,入出庫履歴!$E$10:$E$1009,C55,入出庫履歴!$D$10:$D$1009,"出庫"))</f>
        <v/>
      </c>
      <c r="N55" s="13" t="str">
        <f>IF(C55="","",SUMIFS(入出庫履歴!$G$10:$G$1009,入出庫履歴!$E$10:$E$1009,C55,入出庫履歴!$D$10:$D$1009,"廃棄"))</f>
        <v/>
      </c>
      <c r="O55" s="14" t="str">
        <f>IF(C55="","",SUMIFS(入出庫履歴!$G$10:$G$1009,入出庫履歴!$E$10:$E$1009,C55,入出庫履歴!$D$10:$D$1009,"棚卸調整"))</f>
        <v/>
      </c>
      <c r="P55" s="13" t="str">
        <f t="shared" si="0"/>
        <v/>
      </c>
      <c r="Q55" s="15" t="str">
        <f t="shared" si="1"/>
        <v/>
      </c>
      <c r="R55" s="16"/>
      <c r="S55" s="16"/>
      <c r="T55" s="17" t="str">
        <f t="shared" si="2"/>
        <v/>
      </c>
      <c r="U55" s="13" t="str">
        <f t="shared" si="3"/>
        <v/>
      </c>
      <c r="V55" s="18" t="str">
        <f>IF(C55="","",IF(_xlfn.MINIFS(入出庫履歴!$K$10:$K$1009,入出庫履歴!$E$10:$E$1009,C55,入出庫履歴!$N$10:$N$1009,"&gt;0")=0,"",_xlfn.MINIFS(入出庫履歴!$K$10:$K$1009,入出庫履歴!$E$10:$E$1009,C55,入出庫履歴!$N$10:$N$1009,"&gt;0")))</f>
        <v/>
      </c>
      <c r="W55" s="17" t="str">
        <f ca="1">IF(OR(V55="",P55&lt;=0),"",IF(V55&lt;TODAY(),"期限切れ",IF(V55-TODAY()&lt;=設定!$C$4,"期限間近","")))</f>
        <v/>
      </c>
      <c r="X55" s="19"/>
      <c r="Y55" s="19"/>
      <c r="Z55" t="str">
        <f>IF(OR(T55="要発注",T55="欠品",T55="在庫異常"),COUNTIF($T$10:T55,"要発注")+COUNTIF($T$10:T55,"欠品")+COUNTIF($T$10:T55,"在庫異常"),"")</f>
        <v/>
      </c>
    </row>
    <row r="56" spans="2:26">
      <c r="B56" s="8" t="str">
        <f>IF(C56="","",COUNTA($C$10:C56))</f>
        <v/>
      </c>
      <c r="C56" s="9"/>
      <c r="D56" s="19"/>
      <c r="E56" s="19"/>
      <c r="F56" s="10"/>
      <c r="G56" s="11"/>
      <c r="H56" s="9"/>
      <c r="I56" s="11"/>
      <c r="J56" s="19"/>
      <c r="K56" s="12"/>
      <c r="L56" s="13" t="str">
        <f>IF(C56="","",SUMIFS(入出庫履歴!$G$10:$G$1009,入出庫履歴!$E$10:$E$1009,C56,入出庫履歴!$D$10:$D$1009,"入庫"))</f>
        <v/>
      </c>
      <c r="M56" s="13" t="str">
        <f>IF(C56="","",SUMIFS(入出庫履歴!$G$10:$G$1009,入出庫履歴!$E$10:$E$1009,C56,入出庫履歴!$D$10:$D$1009,"出庫"))</f>
        <v/>
      </c>
      <c r="N56" s="13" t="str">
        <f>IF(C56="","",SUMIFS(入出庫履歴!$G$10:$G$1009,入出庫履歴!$E$10:$E$1009,C56,入出庫履歴!$D$10:$D$1009,"廃棄"))</f>
        <v/>
      </c>
      <c r="O56" s="14" t="str">
        <f>IF(C56="","",SUMIFS(入出庫履歴!$G$10:$G$1009,入出庫履歴!$E$10:$E$1009,C56,入出庫履歴!$D$10:$D$1009,"棚卸調整"))</f>
        <v/>
      </c>
      <c r="P56" s="13" t="str">
        <f t="shared" si="0"/>
        <v/>
      </c>
      <c r="Q56" s="15" t="str">
        <f t="shared" si="1"/>
        <v/>
      </c>
      <c r="R56" s="16"/>
      <c r="S56" s="16"/>
      <c r="T56" s="17" t="str">
        <f t="shared" si="2"/>
        <v/>
      </c>
      <c r="U56" s="13" t="str">
        <f t="shared" si="3"/>
        <v/>
      </c>
      <c r="V56" s="18" t="str">
        <f>IF(C56="","",IF(_xlfn.MINIFS(入出庫履歴!$K$10:$K$1009,入出庫履歴!$E$10:$E$1009,C56,入出庫履歴!$N$10:$N$1009,"&gt;0")=0,"",_xlfn.MINIFS(入出庫履歴!$K$10:$K$1009,入出庫履歴!$E$10:$E$1009,C56,入出庫履歴!$N$10:$N$1009,"&gt;0")))</f>
        <v/>
      </c>
      <c r="W56" s="17" t="str">
        <f ca="1">IF(OR(V56="",P56&lt;=0),"",IF(V56&lt;TODAY(),"期限切れ",IF(V56-TODAY()&lt;=設定!$C$4,"期限間近","")))</f>
        <v/>
      </c>
      <c r="X56" s="19"/>
      <c r="Y56" s="19"/>
      <c r="Z56" t="str">
        <f>IF(OR(T56="要発注",T56="欠品",T56="在庫異常"),COUNTIF($T$10:T56,"要発注")+COUNTIF($T$10:T56,"欠品")+COUNTIF($T$10:T56,"在庫異常"),"")</f>
        <v/>
      </c>
    </row>
    <row r="57" spans="2:26">
      <c r="B57" s="8" t="str">
        <f>IF(C57="","",COUNTA($C$10:C57))</f>
        <v/>
      </c>
      <c r="C57" s="9"/>
      <c r="D57" s="19"/>
      <c r="E57" s="19"/>
      <c r="F57" s="10"/>
      <c r="G57" s="11"/>
      <c r="H57" s="9"/>
      <c r="I57" s="11"/>
      <c r="J57" s="19"/>
      <c r="K57" s="12"/>
      <c r="L57" s="13" t="str">
        <f>IF(C57="","",SUMIFS(入出庫履歴!$G$10:$G$1009,入出庫履歴!$E$10:$E$1009,C57,入出庫履歴!$D$10:$D$1009,"入庫"))</f>
        <v/>
      </c>
      <c r="M57" s="13" t="str">
        <f>IF(C57="","",SUMIFS(入出庫履歴!$G$10:$G$1009,入出庫履歴!$E$10:$E$1009,C57,入出庫履歴!$D$10:$D$1009,"出庫"))</f>
        <v/>
      </c>
      <c r="N57" s="13" t="str">
        <f>IF(C57="","",SUMIFS(入出庫履歴!$G$10:$G$1009,入出庫履歴!$E$10:$E$1009,C57,入出庫履歴!$D$10:$D$1009,"廃棄"))</f>
        <v/>
      </c>
      <c r="O57" s="14" t="str">
        <f>IF(C57="","",SUMIFS(入出庫履歴!$G$10:$G$1009,入出庫履歴!$E$10:$E$1009,C57,入出庫履歴!$D$10:$D$1009,"棚卸調整"))</f>
        <v/>
      </c>
      <c r="P57" s="13" t="str">
        <f t="shared" si="0"/>
        <v/>
      </c>
      <c r="Q57" s="15" t="str">
        <f t="shared" si="1"/>
        <v/>
      </c>
      <c r="R57" s="16"/>
      <c r="S57" s="16"/>
      <c r="T57" s="17" t="str">
        <f t="shared" si="2"/>
        <v/>
      </c>
      <c r="U57" s="13" t="str">
        <f t="shared" si="3"/>
        <v/>
      </c>
      <c r="V57" s="18" t="str">
        <f>IF(C57="","",IF(_xlfn.MINIFS(入出庫履歴!$K$10:$K$1009,入出庫履歴!$E$10:$E$1009,C57,入出庫履歴!$N$10:$N$1009,"&gt;0")=0,"",_xlfn.MINIFS(入出庫履歴!$K$10:$K$1009,入出庫履歴!$E$10:$E$1009,C57,入出庫履歴!$N$10:$N$1009,"&gt;0")))</f>
        <v/>
      </c>
      <c r="W57" s="17" t="str">
        <f ca="1">IF(OR(V57="",P57&lt;=0),"",IF(V57&lt;TODAY(),"期限切れ",IF(V57-TODAY()&lt;=設定!$C$4,"期限間近","")))</f>
        <v/>
      </c>
      <c r="X57" s="19"/>
      <c r="Y57" s="19"/>
      <c r="Z57" t="str">
        <f>IF(OR(T57="要発注",T57="欠品",T57="在庫異常"),COUNTIF($T$10:T57,"要発注")+COUNTIF($T$10:T57,"欠品")+COUNTIF($T$10:T57,"在庫異常"),"")</f>
        <v/>
      </c>
    </row>
    <row r="58" spans="2:26">
      <c r="B58" s="8" t="str">
        <f>IF(C58="","",COUNTA($C$10:C58))</f>
        <v/>
      </c>
      <c r="C58" s="9"/>
      <c r="D58" s="19"/>
      <c r="E58" s="19"/>
      <c r="F58" s="10"/>
      <c r="G58" s="11"/>
      <c r="H58" s="9"/>
      <c r="I58" s="11"/>
      <c r="J58" s="19"/>
      <c r="K58" s="12"/>
      <c r="L58" s="13" t="str">
        <f>IF(C58="","",SUMIFS(入出庫履歴!$G$10:$G$1009,入出庫履歴!$E$10:$E$1009,C58,入出庫履歴!$D$10:$D$1009,"入庫"))</f>
        <v/>
      </c>
      <c r="M58" s="13" t="str">
        <f>IF(C58="","",SUMIFS(入出庫履歴!$G$10:$G$1009,入出庫履歴!$E$10:$E$1009,C58,入出庫履歴!$D$10:$D$1009,"出庫"))</f>
        <v/>
      </c>
      <c r="N58" s="13" t="str">
        <f>IF(C58="","",SUMIFS(入出庫履歴!$G$10:$G$1009,入出庫履歴!$E$10:$E$1009,C58,入出庫履歴!$D$10:$D$1009,"廃棄"))</f>
        <v/>
      </c>
      <c r="O58" s="14" t="str">
        <f>IF(C58="","",SUMIFS(入出庫履歴!$G$10:$G$1009,入出庫履歴!$E$10:$E$1009,C58,入出庫履歴!$D$10:$D$1009,"棚卸調整"))</f>
        <v/>
      </c>
      <c r="P58" s="13" t="str">
        <f t="shared" si="0"/>
        <v/>
      </c>
      <c r="Q58" s="15" t="str">
        <f t="shared" si="1"/>
        <v/>
      </c>
      <c r="R58" s="16"/>
      <c r="S58" s="16"/>
      <c r="T58" s="17" t="str">
        <f t="shared" si="2"/>
        <v/>
      </c>
      <c r="U58" s="13" t="str">
        <f t="shared" si="3"/>
        <v/>
      </c>
      <c r="V58" s="18" t="str">
        <f>IF(C58="","",IF(_xlfn.MINIFS(入出庫履歴!$K$10:$K$1009,入出庫履歴!$E$10:$E$1009,C58,入出庫履歴!$N$10:$N$1009,"&gt;0")=0,"",_xlfn.MINIFS(入出庫履歴!$K$10:$K$1009,入出庫履歴!$E$10:$E$1009,C58,入出庫履歴!$N$10:$N$1009,"&gt;0")))</f>
        <v/>
      </c>
      <c r="W58" s="17" t="str">
        <f ca="1">IF(OR(V58="",P58&lt;=0),"",IF(V58&lt;TODAY(),"期限切れ",IF(V58-TODAY()&lt;=設定!$C$4,"期限間近","")))</f>
        <v/>
      </c>
      <c r="X58" s="19"/>
      <c r="Y58" s="19"/>
      <c r="Z58" t="str">
        <f>IF(OR(T58="要発注",T58="欠品",T58="在庫異常"),COUNTIF($T$10:T58,"要発注")+COUNTIF($T$10:T58,"欠品")+COUNTIF($T$10:T58,"在庫異常"),"")</f>
        <v/>
      </c>
    </row>
    <row r="59" spans="2:26">
      <c r="B59" s="8" t="str">
        <f>IF(C59="","",COUNTA($C$10:C59))</f>
        <v/>
      </c>
      <c r="C59" s="9"/>
      <c r="D59" s="19"/>
      <c r="E59" s="19"/>
      <c r="F59" s="10"/>
      <c r="G59" s="11"/>
      <c r="H59" s="9"/>
      <c r="I59" s="11"/>
      <c r="J59" s="19"/>
      <c r="K59" s="12"/>
      <c r="L59" s="13" t="str">
        <f>IF(C59="","",SUMIFS(入出庫履歴!$G$10:$G$1009,入出庫履歴!$E$10:$E$1009,C59,入出庫履歴!$D$10:$D$1009,"入庫"))</f>
        <v/>
      </c>
      <c r="M59" s="13" t="str">
        <f>IF(C59="","",SUMIFS(入出庫履歴!$G$10:$G$1009,入出庫履歴!$E$10:$E$1009,C59,入出庫履歴!$D$10:$D$1009,"出庫"))</f>
        <v/>
      </c>
      <c r="N59" s="13" t="str">
        <f>IF(C59="","",SUMIFS(入出庫履歴!$G$10:$G$1009,入出庫履歴!$E$10:$E$1009,C59,入出庫履歴!$D$10:$D$1009,"廃棄"))</f>
        <v/>
      </c>
      <c r="O59" s="14" t="str">
        <f>IF(C59="","",SUMIFS(入出庫履歴!$G$10:$G$1009,入出庫履歴!$E$10:$E$1009,C59,入出庫履歴!$D$10:$D$1009,"棚卸調整"))</f>
        <v/>
      </c>
      <c r="P59" s="13" t="str">
        <f t="shared" si="0"/>
        <v/>
      </c>
      <c r="Q59" s="15" t="str">
        <f t="shared" si="1"/>
        <v/>
      </c>
      <c r="R59" s="16"/>
      <c r="S59" s="16"/>
      <c r="T59" s="17" t="str">
        <f t="shared" si="2"/>
        <v/>
      </c>
      <c r="U59" s="13" t="str">
        <f t="shared" si="3"/>
        <v/>
      </c>
      <c r="V59" s="18" t="str">
        <f>IF(C59="","",IF(_xlfn.MINIFS(入出庫履歴!$K$10:$K$1009,入出庫履歴!$E$10:$E$1009,C59,入出庫履歴!$N$10:$N$1009,"&gt;0")=0,"",_xlfn.MINIFS(入出庫履歴!$K$10:$K$1009,入出庫履歴!$E$10:$E$1009,C59,入出庫履歴!$N$10:$N$1009,"&gt;0")))</f>
        <v/>
      </c>
      <c r="W59" s="17" t="str">
        <f ca="1">IF(OR(V59="",P59&lt;=0),"",IF(V59&lt;TODAY(),"期限切れ",IF(V59-TODAY()&lt;=設定!$C$4,"期限間近","")))</f>
        <v/>
      </c>
      <c r="X59" s="19"/>
      <c r="Y59" s="19"/>
      <c r="Z59" t="str">
        <f>IF(OR(T59="要発注",T59="欠品",T59="在庫異常"),COUNTIF($T$10:T59,"要発注")+COUNTIF($T$10:T59,"欠品")+COUNTIF($T$10:T59,"在庫異常"),"")</f>
        <v/>
      </c>
    </row>
    <row r="60" spans="2:26">
      <c r="B60" s="8" t="str">
        <f>IF(C60="","",COUNTA($C$10:C60))</f>
        <v/>
      </c>
      <c r="C60" s="9"/>
      <c r="D60" s="19"/>
      <c r="E60" s="19"/>
      <c r="F60" s="10"/>
      <c r="G60" s="11"/>
      <c r="H60" s="9"/>
      <c r="I60" s="11"/>
      <c r="J60" s="19"/>
      <c r="K60" s="12"/>
      <c r="L60" s="13" t="str">
        <f>IF(C60="","",SUMIFS(入出庫履歴!$G$10:$G$1009,入出庫履歴!$E$10:$E$1009,C60,入出庫履歴!$D$10:$D$1009,"入庫"))</f>
        <v/>
      </c>
      <c r="M60" s="13" t="str">
        <f>IF(C60="","",SUMIFS(入出庫履歴!$G$10:$G$1009,入出庫履歴!$E$10:$E$1009,C60,入出庫履歴!$D$10:$D$1009,"出庫"))</f>
        <v/>
      </c>
      <c r="N60" s="13" t="str">
        <f>IF(C60="","",SUMIFS(入出庫履歴!$G$10:$G$1009,入出庫履歴!$E$10:$E$1009,C60,入出庫履歴!$D$10:$D$1009,"廃棄"))</f>
        <v/>
      </c>
      <c r="O60" s="14" t="str">
        <f>IF(C60="","",SUMIFS(入出庫履歴!$G$10:$G$1009,入出庫履歴!$E$10:$E$1009,C60,入出庫履歴!$D$10:$D$1009,"棚卸調整"))</f>
        <v/>
      </c>
      <c r="P60" s="13" t="str">
        <f t="shared" si="0"/>
        <v/>
      </c>
      <c r="Q60" s="15" t="str">
        <f t="shared" si="1"/>
        <v/>
      </c>
      <c r="R60" s="16"/>
      <c r="S60" s="16"/>
      <c r="T60" s="17" t="str">
        <f t="shared" si="2"/>
        <v/>
      </c>
      <c r="U60" s="13" t="str">
        <f t="shared" si="3"/>
        <v/>
      </c>
      <c r="V60" s="18" t="str">
        <f>IF(C60="","",IF(_xlfn.MINIFS(入出庫履歴!$K$10:$K$1009,入出庫履歴!$E$10:$E$1009,C60,入出庫履歴!$N$10:$N$1009,"&gt;0")=0,"",_xlfn.MINIFS(入出庫履歴!$K$10:$K$1009,入出庫履歴!$E$10:$E$1009,C60,入出庫履歴!$N$10:$N$1009,"&gt;0")))</f>
        <v/>
      </c>
      <c r="W60" s="17" t="str">
        <f ca="1">IF(OR(V60="",P60&lt;=0),"",IF(V60&lt;TODAY(),"期限切れ",IF(V60-TODAY()&lt;=設定!$C$4,"期限間近","")))</f>
        <v/>
      </c>
      <c r="X60" s="19"/>
      <c r="Y60" s="19"/>
      <c r="Z60" t="str">
        <f>IF(OR(T60="要発注",T60="欠品",T60="在庫異常"),COUNTIF($T$10:T60,"要発注")+COUNTIF($T$10:T60,"欠品")+COUNTIF($T$10:T60,"在庫異常"),"")</f>
        <v/>
      </c>
    </row>
    <row r="61" spans="2:26">
      <c r="B61" s="8" t="str">
        <f>IF(C61="","",COUNTA($C$10:C61))</f>
        <v/>
      </c>
      <c r="C61" s="9"/>
      <c r="D61" s="19"/>
      <c r="E61" s="19"/>
      <c r="F61" s="10"/>
      <c r="G61" s="11"/>
      <c r="H61" s="9"/>
      <c r="I61" s="11"/>
      <c r="J61" s="19"/>
      <c r="K61" s="12"/>
      <c r="L61" s="13" t="str">
        <f>IF(C61="","",SUMIFS(入出庫履歴!$G$10:$G$1009,入出庫履歴!$E$10:$E$1009,C61,入出庫履歴!$D$10:$D$1009,"入庫"))</f>
        <v/>
      </c>
      <c r="M61" s="13" t="str">
        <f>IF(C61="","",SUMIFS(入出庫履歴!$G$10:$G$1009,入出庫履歴!$E$10:$E$1009,C61,入出庫履歴!$D$10:$D$1009,"出庫"))</f>
        <v/>
      </c>
      <c r="N61" s="13" t="str">
        <f>IF(C61="","",SUMIFS(入出庫履歴!$G$10:$G$1009,入出庫履歴!$E$10:$E$1009,C61,入出庫履歴!$D$10:$D$1009,"廃棄"))</f>
        <v/>
      </c>
      <c r="O61" s="14" t="str">
        <f>IF(C61="","",SUMIFS(入出庫履歴!$G$10:$G$1009,入出庫履歴!$E$10:$E$1009,C61,入出庫履歴!$D$10:$D$1009,"棚卸調整"))</f>
        <v/>
      </c>
      <c r="P61" s="13" t="str">
        <f t="shared" si="0"/>
        <v/>
      </c>
      <c r="Q61" s="15" t="str">
        <f t="shared" si="1"/>
        <v/>
      </c>
      <c r="R61" s="16"/>
      <c r="S61" s="16"/>
      <c r="T61" s="17" t="str">
        <f t="shared" si="2"/>
        <v/>
      </c>
      <c r="U61" s="13" t="str">
        <f t="shared" si="3"/>
        <v/>
      </c>
      <c r="V61" s="18" t="str">
        <f>IF(C61="","",IF(_xlfn.MINIFS(入出庫履歴!$K$10:$K$1009,入出庫履歴!$E$10:$E$1009,C61,入出庫履歴!$N$10:$N$1009,"&gt;0")=0,"",_xlfn.MINIFS(入出庫履歴!$K$10:$K$1009,入出庫履歴!$E$10:$E$1009,C61,入出庫履歴!$N$10:$N$1009,"&gt;0")))</f>
        <v/>
      </c>
      <c r="W61" s="17" t="str">
        <f ca="1">IF(OR(V61="",P61&lt;=0),"",IF(V61&lt;TODAY(),"期限切れ",IF(V61-TODAY()&lt;=設定!$C$4,"期限間近","")))</f>
        <v/>
      </c>
      <c r="X61" s="19"/>
      <c r="Y61" s="19"/>
      <c r="Z61" t="str">
        <f>IF(OR(T61="要発注",T61="欠品",T61="在庫異常"),COUNTIF($T$10:T61,"要発注")+COUNTIF($T$10:T61,"欠品")+COUNTIF($T$10:T61,"在庫異常"),"")</f>
        <v/>
      </c>
    </row>
    <row r="62" spans="2:26">
      <c r="B62" s="8" t="str">
        <f>IF(C62="","",COUNTA($C$10:C62))</f>
        <v/>
      </c>
      <c r="C62" s="9"/>
      <c r="D62" s="19"/>
      <c r="E62" s="19"/>
      <c r="F62" s="10"/>
      <c r="G62" s="11"/>
      <c r="H62" s="9"/>
      <c r="I62" s="11"/>
      <c r="J62" s="19"/>
      <c r="K62" s="12"/>
      <c r="L62" s="13" t="str">
        <f>IF(C62="","",SUMIFS(入出庫履歴!$G$10:$G$1009,入出庫履歴!$E$10:$E$1009,C62,入出庫履歴!$D$10:$D$1009,"入庫"))</f>
        <v/>
      </c>
      <c r="M62" s="13" t="str">
        <f>IF(C62="","",SUMIFS(入出庫履歴!$G$10:$G$1009,入出庫履歴!$E$10:$E$1009,C62,入出庫履歴!$D$10:$D$1009,"出庫"))</f>
        <v/>
      </c>
      <c r="N62" s="13" t="str">
        <f>IF(C62="","",SUMIFS(入出庫履歴!$G$10:$G$1009,入出庫履歴!$E$10:$E$1009,C62,入出庫履歴!$D$10:$D$1009,"廃棄"))</f>
        <v/>
      </c>
      <c r="O62" s="14" t="str">
        <f>IF(C62="","",SUMIFS(入出庫履歴!$G$10:$G$1009,入出庫履歴!$E$10:$E$1009,C62,入出庫履歴!$D$10:$D$1009,"棚卸調整"))</f>
        <v/>
      </c>
      <c r="P62" s="13" t="str">
        <f t="shared" si="0"/>
        <v/>
      </c>
      <c r="Q62" s="15" t="str">
        <f t="shared" si="1"/>
        <v/>
      </c>
      <c r="R62" s="16"/>
      <c r="S62" s="16"/>
      <c r="T62" s="17" t="str">
        <f t="shared" si="2"/>
        <v/>
      </c>
      <c r="U62" s="13" t="str">
        <f t="shared" si="3"/>
        <v/>
      </c>
      <c r="V62" s="18" t="str">
        <f>IF(C62="","",IF(_xlfn.MINIFS(入出庫履歴!$K$10:$K$1009,入出庫履歴!$E$10:$E$1009,C62,入出庫履歴!$N$10:$N$1009,"&gt;0")=0,"",_xlfn.MINIFS(入出庫履歴!$K$10:$K$1009,入出庫履歴!$E$10:$E$1009,C62,入出庫履歴!$N$10:$N$1009,"&gt;0")))</f>
        <v/>
      </c>
      <c r="W62" s="17" t="str">
        <f ca="1">IF(OR(V62="",P62&lt;=0),"",IF(V62&lt;TODAY(),"期限切れ",IF(V62-TODAY()&lt;=設定!$C$4,"期限間近","")))</f>
        <v/>
      </c>
      <c r="X62" s="19"/>
      <c r="Y62" s="19"/>
      <c r="Z62" t="str">
        <f>IF(OR(T62="要発注",T62="欠品",T62="在庫異常"),COUNTIF($T$10:T62,"要発注")+COUNTIF($T$10:T62,"欠品")+COUNTIF($T$10:T62,"在庫異常"),"")</f>
        <v/>
      </c>
    </row>
    <row r="63" spans="2:26">
      <c r="B63" s="8" t="str">
        <f>IF(C63="","",COUNTA($C$10:C63))</f>
        <v/>
      </c>
      <c r="C63" s="9"/>
      <c r="D63" s="19"/>
      <c r="E63" s="19"/>
      <c r="F63" s="10"/>
      <c r="G63" s="11"/>
      <c r="H63" s="9"/>
      <c r="I63" s="11"/>
      <c r="J63" s="19"/>
      <c r="K63" s="12"/>
      <c r="L63" s="13" t="str">
        <f>IF(C63="","",SUMIFS(入出庫履歴!$G$10:$G$1009,入出庫履歴!$E$10:$E$1009,C63,入出庫履歴!$D$10:$D$1009,"入庫"))</f>
        <v/>
      </c>
      <c r="M63" s="13" t="str">
        <f>IF(C63="","",SUMIFS(入出庫履歴!$G$10:$G$1009,入出庫履歴!$E$10:$E$1009,C63,入出庫履歴!$D$10:$D$1009,"出庫"))</f>
        <v/>
      </c>
      <c r="N63" s="13" t="str">
        <f>IF(C63="","",SUMIFS(入出庫履歴!$G$10:$G$1009,入出庫履歴!$E$10:$E$1009,C63,入出庫履歴!$D$10:$D$1009,"廃棄"))</f>
        <v/>
      </c>
      <c r="O63" s="14" t="str">
        <f>IF(C63="","",SUMIFS(入出庫履歴!$G$10:$G$1009,入出庫履歴!$E$10:$E$1009,C63,入出庫履歴!$D$10:$D$1009,"棚卸調整"))</f>
        <v/>
      </c>
      <c r="P63" s="13" t="str">
        <f t="shared" si="0"/>
        <v/>
      </c>
      <c r="Q63" s="15" t="str">
        <f t="shared" si="1"/>
        <v/>
      </c>
      <c r="R63" s="16"/>
      <c r="S63" s="16"/>
      <c r="T63" s="17" t="str">
        <f t="shared" si="2"/>
        <v/>
      </c>
      <c r="U63" s="13" t="str">
        <f t="shared" si="3"/>
        <v/>
      </c>
      <c r="V63" s="18" t="str">
        <f>IF(C63="","",IF(_xlfn.MINIFS(入出庫履歴!$K$10:$K$1009,入出庫履歴!$E$10:$E$1009,C63,入出庫履歴!$N$10:$N$1009,"&gt;0")=0,"",_xlfn.MINIFS(入出庫履歴!$K$10:$K$1009,入出庫履歴!$E$10:$E$1009,C63,入出庫履歴!$N$10:$N$1009,"&gt;0")))</f>
        <v/>
      </c>
      <c r="W63" s="17" t="str">
        <f ca="1">IF(OR(V63="",P63&lt;=0),"",IF(V63&lt;TODAY(),"期限切れ",IF(V63-TODAY()&lt;=設定!$C$4,"期限間近","")))</f>
        <v/>
      </c>
      <c r="X63" s="19"/>
      <c r="Y63" s="19"/>
      <c r="Z63" t="str">
        <f>IF(OR(T63="要発注",T63="欠品",T63="在庫異常"),COUNTIF($T$10:T63,"要発注")+COUNTIF($T$10:T63,"欠品")+COUNTIF($T$10:T63,"在庫異常"),"")</f>
        <v/>
      </c>
    </row>
    <row r="64" spans="2:26">
      <c r="B64" s="8" t="str">
        <f>IF(C64="","",COUNTA($C$10:C64))</f>
        <v/>
      </c>
      <c r="C64" s="9"/>
      <c r="D64" s="19"/>
      <c r="E64" s="19"/>
      <c r="F64" s="10"/>
      <c r="G64" s="11"/>
      <c r="H64" s="9"/>
      <c r="I64" s="11"/>
      <c r="J64" s="19"/>
      <c r="K64" s="12"/>
      <c r="L64" s="13" t="str">
        <f>IF(C64="","",SUMIFS(入出庫履歴!$G$10:$G$1009,入出庫履歴!$E$10:$E$1009,C64,入出庫履歴!$D$10:$D$1009,"入庫"))</f>
        <v/>
      </c>
      <c r="M64" s="13" t="str">
        <f>IF(C64="","",SUMIFS(入出庫履歴!$G$10:$G$1009,入出庫履歴!$E$10:$E$1009,C64,入出庫履歴!$D$10:$D$1009,"出庫"))</f>
        <v/>
      </c>
      <c r="N64" s="13" t="str">
        <f>IF(C64="","",SUMIFS(入出庫履歴!$G$10:$G$1009,入出庫履歴!$E$10:$E$1009,C64,入出庫履歴!$D$10:$D$1009,"廃棄"))</f>
        <v/>
      </c>
      <c r="O64" s="14" t="str">
        <f>IF(C64="","",SUMIFS(入出庫履歴!$G$10:$G$1009,入出庫履歴!$E$10:$E$1009,C64,入出庫履歴!$D$10:$D$1009,"棚卸調整"))</f>
        <v/>
      </c>
      <c r="P64" s="13" t="str">
        <f t="shared" si="0"/>
        <v/>
      </c>
      <c r="Q64" s="15" t="str">
        <f t="shared" si="1"/>
        <v/>
      </c>
      <c r="R64" s="16"/>
      <c r="S64" s="16"/>
      <c r="T64" s="17" t="str">
        <f t="shared" si="2"/>
        <v/>
      </c>
      <c r="U64" s="13" t="str">
        <f t="shared" si="3"/>
        <v/>
      </c>
      <c r="V64" s="18" t="str">
        <f>IF(C64="","",IF(_xlfn.MINIFS(入出庫履歴!$K$10:$K$1009,入出庫履歴!$E$10:$E$1009,C64,入出庫履歴!$N$10:$N$1009,"&gt;0")=0,"",_xlfn.MINIFS(入出庫履歴!$K$10:$K$1009,入出庫履歴!$E$10:$E$1009,C64,入出庫履歴!$N$10:$N$1009,"&gt;0")))</f>
        <v/>
      </c>
      <c r="W64" s="17" t="str">
        <f ca="1">IF(OR(V64="",P64&lt;=0),"",IF(V64&lt;TODAY(),"期限切れ",IF(V64-TODAY()&lt;=設定!$C$4,"期限間近","")))</f>
        <v/>
      </c>
      <c r="X64" s="19"/>
      <c r="Y64" s="19"/>
      <c r="Z64" t="str">
        <f>IF(OR(T64="要発注",T64="欠品",T64="在庫異常"),COUNTIF($T$10:T64,"要発注")+COUNTIF($T$10:T64,"欠品")+COUNTIF($T$10:T64,"在庫異常"),"")</f>
        <v/>
      </c>
    </row>
    <row r="65" spans="2:26">
      <c r="B65" s="8" t="str">
        <f>IF(C65="","",COUNTA($C$10:C65))</f>
        <v/>
      </c>
      <c r="C65" s="9"/>
      <c r="D65" s="19"/>
      <c r="E65" s="19"/>
      <c r="F65" s="10"/>
      <c r="G65" s="11"/>
      <c r="H65" s="9"/>
      <c r="I65" s="11"/>
      <c r="J65" s="19"/>
      <c r="K65" s="12"/>
      <c r="L65" s="13" t="str">
        <f>IF(C65="","",SUMIFS(入出庫履歴!$G$10:$G$1009,入出庫履歴!$E$10:$E$1009,C65,入出庫履歴!$D$10:$D$1009,"入庫"))</f>
        <v/>
      </c>
      <c r="M65" s="13" t="str">
        <f>IF(C65="","",SUMIFS(入出庫履歴!$G$10:$G$1009,入出庫履歴!$E$10:$E$1009,C65,入出庫履歴!$D$10:$D$1009,"出庫"))</f>
        <v/>
      </c>
      <c r="N65" s="13" t="str">
        <f>IF(C65="","",SUMIFS(入出庫履歴!$G$10:$G$1009,入出庫履歴!$E$10:$E$1009,C65,入出庫履歴!$D$10:$D$1009,"廃棄"))</f>
        <v/>
      </c>
      <c r="O65" s="14" t="str">
        <f>IF(C65="","",SUMIFS(入出庫履歴!$G$10:$G$1009,入出庫履歴!$E$10:$E$1009,C65,入出庫履歴!$D$10:$D$1009,"棚卸調整"))</f>
        <v/>
      </c>
      <c r="P65" s="13" t="str">
        <f t="shared" si="0"/>
        <v/>
      </c>
      <c r="Q65" s="15" t="str">
        <f t="shared" si="1"/>
        <v/>
      </c>
      <c r="R65" s="16"/>
      <c r="S65" s="16"/>
      <c r="T65" s="17" t="str">
        <f t="shared" si="2"/>
        <v/>
      </c>
      <c r="U65" s="13" t="str">
        <f t="shared" si="3"/>
        <v/>
      </c>
      <c r="V65" s="18" t="str">
        <f>IF(C65="","",IF(_xlfn.MINIFS(入出庫履歴!$K$10:$K$1009,入出庫履歴!$E$10:$E$1009,C65,入出庫履歴!$N$10:$N$1009,"&gt;0")=0,"",_xlfn.MINIFS(入出庫履歴!$K$10:$K$1009,入出庫履歴!$E$10:$E$1009,C65,入出庫履歴!$N$10:$N$1009,"&gt;0")))</f>
        <v/>
      </c>
      <c r="W65" s="17" t="str">
        <f ca="1">IF(OR(V65="",P65&lt;=0),"",IF(V65&lt;TODAY(),"期限切れ",IF(V65-TODAY()&lt;=設定!$C$4,"期限間近","")))</f>
        <v/>
      </c>
      <c r="X65" s="19"/>
      <c r="Y65" s="19"/>
      <c r="Z65" t="str">
        <f>IF(OR(T65="要発注",T65="欠品",T65="在庫異常"),COUNTIF($T$10:T65,"要発注")+COUNTIF($T$10:T65,"欠品")+COUNTIF($T$10:T65,"在庫異常"),"")</f>
        <v/>
      </c>
    </row>
    <row r="66" spans="2:26">
      <c r="B66" s="8" t="str">
        <f>IF(C66="","",COUNTA($C$10:C66))</f>
        <v/>
      </c>
      <c r="C66" s="9"/>
      <c r="D66" s="19"/>
      <c r="E66" s="19"/>
      <c r="F66" s="10"/>
      <c r="G66" s="11"/>
      <c r="H66" s="9"/>
      <c r="I66" s="11"/>
      <c r="J66" s="19"/>
      <c r="K66" s="12"/>
      <c r="L66" s="13" t="str">
        <f>IF(C66="","",SUMIFS(入出庫履歴!$G$10:$G$1009,入出庫履歴!$E$10:$E$1009,C66,入出庫履歴!$D$10:$D$1009,"入庫"))</f>
        <v/>
      </c>
      <c r="M66" s="13" t="str">
        <f>IF(C66="","",SUMIFS(入出庫履歴!$G$10:$G$1009,入出庫履歴!$E$10:$E$1009,C66,入出庫履歴!$D$10:$D$1009,"出庫"))</f>
        <v/>
      </c>
      <c r="N66" s="13" t="str">
        <f>IF(C66="","",SUMIFS(入出庫履歴!$G$10:$G$1009,入出庫履歴!$E$10:$E$1009,C66,入出庫履歴!$D$10:$D$1009,"廃棄"))</f>
        <v/>
      </c>
      <c r="O66" s="14" t="str">
        <f>IF(C66="","",SUMIFS(入出庫履歴!$G$10:$G$1009,入出庫履歴!$E$10:$E$1009,C66,入出庫履歴!$D$10:$D$1009,"棚卸調整"))</f>
        <v/>
      </c>
      <c r="P66" s="13" t="str">
        <f t="shared" si="0"/>
        <v/>
      </c>
      <c r="Q66" s="15" t="str">
        <f t="shared" si="1"/>
        <v/>
      </c>
      <c r="R66" s="16"/>
      <c r="S66" s="16"/>
      <c r="T66" s="17" t="str">
        <f t="shared" si="2"/>
        <v/>
      </c>
      <c r="U66" s="13" t="str">
        <f t="shared" si="3"/>
        <v/>
      </c>
      <c r="V66" s="18" t="str">
        <f>IF(C66="","",IF(_xlfn.MINIFS(入出庫履歴!$K$10:$K$1009,入出庫履歴!$E$10:$E$1009,C66,入出庫履歴!$N$10:$N$1009,"&gt;0")=0,"",_xlfn.MINIFS(入出庫履歴!$K$10:$K$1009,入出庫履歴!$E$10:$E$1009,C66,入出庫履歴!$N$10:$N$1009,"&gt;0")))</f>
        <v/>
      </c>
      <c r="W66" s="17" t="str">
        <f ca="1">IF(OR(V66="",P66&lt;=0),"",IF(V66&lt;TODAY(),"期限切れ",IF(V66-TODAY()&lt;=設定!$C$4,"期限間近","")))</f>
        <v/>
      </c>
      <c r="X66" s="19"/>
      <c r="Y66" s="19"/>
      <c r="Z66" t="str">
        <f>IF(OR(T66="要発注",T66="欠品",T66="在庫異常"),COUNTIF($T$10:T66,"要発注")+COUNTIF($T$10:T66,"欠品")+COUNTIF($T$10:T66,"在庫異常"),"")</f>
        <v/>
      </c>
    </row>
    <row r="67" spans="2:26">
      <c r="B67" s="8" t="str">
        <f>IF(C67="","",COUNTA($C$10:C67))</f>
        <v/>
      </c>
      <c r="C67" s="9"/>
      <c r="D67" s="19"/>
      <c r="E67" s="19"/>
      <c r="F67" s="10"/>
      <c r="G67" s="11"/>
      <c r="H67" s="9"/>
      <c r="I67" s="11"/>
      <c r="J67" s="19"/>
      <c r="K67" s="12"/>
      <c r="L67" s="13" t="str">
        <f>IF(C67="","",SUMIFS(入出庫履歴!$G$10:$G$1009,入出庫履歴!$E$10:$E$1009,C67,入出庫履歴!$D$10:$D$1009,"入庫"))</f>
        <v/>
      </c>
      <c r="M67" s="13" t="str">
        <f>IF(C67="","",SUMIFS(入出庫履歴!$G$10:$G$1009,入出庫履歴!$E$10:$E$1009,C67,入出庫履歴!$D$10:$D$1009,"出庫"))</f>
        <v/>
      </c>
      <c r="N67" s="13" t="str">
        <f>IF(C67="","",SUMIFS(入出庫履歴!$G$10:$G$1009,入出庫履歴!$E$10:$E$1009,C67,入出庫履歴!$D$10:$D$1009,"廃棄"))</f>
        <v/>
      </c>
      <c r="O67" s="14" t="str">
        <f>IF(C67="","",SUMIFS(入出庫履歴!$G$10:$G$1009,入出庫履歴!$E$10:$E$1009,C67,入出庫履歴!$D$10:$D$1009,"棚卸調整"))</f>
        <v/>
      </c>
      <c r="P67" s="13" t="str">
        <f t="shared" si="0"/>
        <v/>
      </c>
      <c r="Q67" s="15" t="str">
        <f t="shared" si="1"/>
        <v/>
      </c>
      <c r="R67" s="16"/>
      <c r="S67" s="16"/>
      <c r="T67" s="17" t="str">
        <f t="shared" si="2"/>
        <v/>
      </c>
      <c r="U67" s="13" t="str">
        <f t="shared" si="3"/>
        <v/>
      </c>
      <c r="V67" s="18" t="str">
        <f>IF(C67="","",IF(_xlfn.MINIFS(入出庫履歴!$K$10:$K$1009,入出庫履歴!$E$10:$E$1009,C67,入出庫履歴!$N$10:$N$1009,"&gt;0")=0,"",_xlfn.MINIFS(入出庫履歴!$K$10:$K$1009,入出庫履歴!$E$10:$E$1009,C67,入出庫履歴!$N$10:$N$1009,"&gt;0")))</f>
        <v/>
      </c>
      <c r="W67" s="17" t="str">
        <f ca="1">IF(OR(V67="",P67&lt;=0),"",IF(V67&lt;TODAY(),"期限切れ",IF(V67-TODAY()&lt;=設定!$C$4,"期限間近","")))</f>
        <v/>
      </c>
      <c r="X67" s="19"/>
      <c r="Y67" s="19"/>
      <c r="Z67" t="str">
        <f>IF(OR(T67="要発注",T67="欠品",T67="在庫異常"),COUNTIF($T$10:T67,"要発注")+COUNTIF($T$10:T67,"欠品")+COUNTIF($T$10:T67,"在庫異常"),"")</f>
        <v/>
      </c>
    </row>
    <row r="68" spans="2:26">
      <c r="B68" s="8" t="str">
        <f>IF(C68="","",COUNTA($C$10:C68))</f>
        <v/>
      </c>
      <c r="C68" s="9"/>
      <c r="D68" s="19"/>
      <c r="E68" s="19"/>
      <c r="F68" s="10"/>
      <c r="G68" s="11"/>
      <c r="H68" s="9"/>
      <c r="I68" s="11"/>
      <c r="J68" s="19"/>
      <c r="K68" s="12"/>
      <c r="L68" s="13" t="str">
        <f>IF(C68="","",SUMIFS(入出庫履歴!$G$10:$G$1009,入出庫履歴!$E$10:$E$1009,C68,入出庫履歴!$D$10:$D$1009,"入庫"))</f>
        <v/>
      </c>
      <c r="M68" s="13" t="str">
        <f>IF(C68="","",SUMIFS(入出庫履歴!$G$10:$G$1009,入出庫履歴!$E$10:$E$1009,C68,入出庫履歴!$D$10:$D$1009,"出庫"))</f>
        <v/>
      </c>
      <c r="N68" s="13" t="str">
        <f>IF(C68="","",SUMIFS(入出庫履歴!$G$10:$G$1009,入出庫履歴!$E$10:$E$1009,C68,入出庫履歴!$D$10:$D$1009,"廃棄"))</f>
        <v/>
      </c>
      <c r="O68" s="14" t="str">
        <f>IF(C68="","",SUMIFS(入出庫履歴!$G$10:$G$1009,入出庫履歴!$E$10:$E$1009,C68,入出庫履歴!$D$10:$D$1009,"棚卸調整"))</f>
        <v/>
      </c>
      <c r="P68" s="13" t="str">
        <f t="shared" si="0"/>
        <v/>
      </c>
      <c r="Q68" s="15" t="str">
        <f t="shared" si="1"/>
        <v/>
      </c>
      <c r="R68" s="16"/>
      <c r="S68" s="16"/>
      <c r="T68" s="17" t="str">
        <f t="shared" si="2"/>
        <v/>
      </c>
      <c r="U68" s="13" t="str">
        <f t="shared" si="3"/>
        <v/>
      </c>
      <c r="V68" s="18" t="str">
        <f>IF(C68="","",IF(_xlfn.MINIFS(入出庫履歴!$K$10:$K$1009,入出庫履歴!$E$10:$E$1009,C68,入出庫履歴!$N$10:$N$1009,"&gt;0")=0,"",_xlfn.MINIFS(入出庫履歴!$K$10:$K$1009,入出庫履歴!$E$10:$E$1009,C68,入出庫履歴!$N$10:$N$1009,"&gt;0")))</f>
        <v/>
      </c>
      <c r="W68" s="17" t="str">
        <f ca="1">IF(OR(V68="",P68&lt;=0),"",IF(V68&lt;TODAY(),"期限切れ",IF(V68-TODAY()&lt;=設定!$C$4,"期限間近","")))</f>
        <v/>
      </c>
      <c r="X68" s="19"/>
      <c r="Y68" s="19"/>
      <c r="Z68" t="str">
        <f>IF(OR(T68="要発注",T68="欠品",T68="在庫異常"),COUNTIF($T$10:T68,"要発注")+COUNTIF($T$10:T68,"欠品")+COUNTIF($T$10:T68,"在庫異常"),"")</f>
        <v/>
      </c>
    </row>
    <row r="69" spans="2:26">
      <c r="B69" s="8" t="str">
        <f>IF(C69="","",COUNTA($C$10:C69))</f>
        <v/>
      </c>
      <c r="C69" s="9"/>
      <c r="D69" s="19"/>
      <c r="E69" s="19"/>
      <c r="F69" s="10"/>
      <c r="G69" s="11"/>
      <c r="H69" s="9"/>
      <c r="I69" s="11"/>
      <c r="J69" s="19"/>
      <c r="K69" s="12"/>
      <c r="L69" s="13" t="str">
        <f>IF(C69="","",SUMIFS(入出庫履歴!$G$10:$G$1009,入出庫履歴!$E$10:$E$1009,C69,入出庫履歴!$D$10:$D$1009,"入庫"))</f>
        <v/>
      </c>
      <c r="M69" s="13" t="str">
        <f>IF(C69="","",SUMIFS(入出庫履歴!$G$10:$G$1009,入出庫履歴!$E$10:$E$1009,C69,入出庫履歴!$D$10:$D$1009,"出庫"))</f>
        <v/>
      </c>
      <c r="N69" s="13" t="str">
        <f>IF(C69="","",SUMIFS(入出庫履歴!$G$10:$G$1009,入出庫履歴!$E$10:$E$1009,C69,入出庫履歴!$D$10:$D$1009,"廃棄"))</f>
        <v/>
      </c>
      <c r="O69" s="14" t="str">
        <f>IF(C69="","",SUMIFS(入出庫履歴!$G$10:$G$1009,入出庫履歴!$E$10:$E$1009,C69,入出庫履歴!$D$10:$D$1009,"棚卸調整"))</f>
        <v/>
      </c>
      <c r="P69" s="13" t="str">
        <f t="shared" si="0"/>
        <v/>
      </c>
      <c r="Q69" s="15" t="str">
        <f t="shared" si="1"/>
        <v/>
      </c>
      <c r="R69" s="16"/>
      <c r="S69" s="16"/>
      <c r="T69" s="17" t="str">
        <f t="shared" si="2"/>
        <v/>
      </c>
      <c r="U69" s="13" t="str">
        <f t="shared" si="3"/>
        <v/>
      </c>
      <c r="V69" s="18" t="str">
        <f>IF(C69="","",IF(_xlfn.MINIFS(入出庫履歴!$K$10:$K$1009,入出庫履歴!$E$10:$E$1009,C69,入出庫履歴!$N$10:$N$1009,"&gt;0")=0,"",_xlfn.MINIFS(入出庫履歴!$K$10:$K$1009,入出庫履歴!$E$10:$E$1009,C69,入出庫履歴!$N$10:$N$1009,"&gt;0")))</f>
        <v/>
      </c>
      <c r="W69" s="17" t="str">
        <f ca="1">IF(OR(V69="",P69&lt;=0),"",IF(V69&lt;TODAY(),"期限切れ",IF(V69-TODAY()&lt;=設定!$C$4,"期限間近","")))</f>
        <v/>
      </c>
      <c r="X69" s="19"/>
      <c r="Y69" s="19"/>
      <c r="Z69" t="str">
        <f>IF(OR(T69="要発注",T69="欠品",T69="在庫異常"),COUNTIF($T$10:T69,"要発注")+COUNTIF($T$10:T69,"欠品")+COUNTIF($T$10:T69,"在庫異常"),"")</f>
        <v/>
      </c>
    </row>
    <row r="70" spans="2:26">
      <c r="B70" s="8" t="str">
        <f>IF(C70="","",COUNTA($C$10:C70))</f>
        <v/>
      </c>
      <c r="C70" s="9"/>
      <c r="D70" s="19"/>
      <c r="E70" s="19"/>
      <c r="F70" s="10"/>
      <c r="G70" s="11"/>
      <c r="H70" s="9"/>
      <c r="I70" s="11"/>
      <c r="J70" s="19"/>
      <c r="K70" s="12"/>
      <c r="L70" s="13" t="str">
        <f>IF(C70="","",SUMIFS(入出庫履歴!$G$10:$G$1009,入出庫履歴!$E$10:$E$1009,C70,入出庫履歴!$D$10:$D$1009,"入庫"))</f>
        <v/>
      </c>
      <c r="M70" s="13" t="str">
        <f>IF(C70="","",SUMIFS(入出庫履歴!$G$10:$G$1009,入出庫履歴!$E$10:$E$1009,C70,入出庫履歴!$D$10:$D$1009,"出庫"))</f>
        <v/>
      </c>
      <c r="N70" s="13" t="str">
        <f>IF(C70="","",SUMIFS(入出庫履歴!$G$10:$G$1009,入出庫履歴!$E$10:$E$1009,C70,入出庫履歴!$D$10:$D$1009,"廃棄"))</f>
        <v/>
      </c>
      <c r="O70" s="14" t="str">
        <f>IF(C70="","",SUMIFS(入出庫履歴!$G$10:$G$1009,入出庫履歴!$E$10:$E$1009,C70,入出庫履歴!$D$10:$D$1009,"棚卸調整"))</f>
        <v/>
      </c>
      <c r="P70" s="13" t="str">
        <f t="shared" si="0"/>
        <v/>
      </c>
      <c r="Q70" s="15" t="str">
        <f t="shared" si="1"/>
        <v/>
      </c>
      <c r="R70" s="16"/>
      <c r="S70" s="16"/>
      <c r="T70" s="17" t="str">
        <f t="shared" si="2"/>
        <v/>
      </c>
      <c r="U70" s="13" t="str">
        <f t="shared" si="3"/>
        <v/>
      </c>
      <c r="V70" s="18" t="str">
        <f>IF(C70="","",IF(_xlfn.MINIFS(入出庫履歴!$K$10:$K$1009,入出庫履歴!$E$10:$E$1009,C70,入出庫履歴!$N$10:$N$1009,"&gt;0")=0,"",_xlfn.MINIFS(入出庫履歴!$K$10:$K$1009,入出庫履歴!$E$10:$E$1009,C70,入出庫履歴!$N$10:$N$1009,"&gt;0")))</f>
        <v/>
      </c>
      <c r="W70" s="17" t="str">
        <f ca="1">IF(OR(V70="",P70&lt;=0),"",IF(V70&lt;TODAY(),"期限切れ",IF(V70-TODAY()&lt;=設定!$C$4,"期限間近","")))</f>
        <v/>
      </c>
      <c r="X70" s="19"/>
      <c r="Y70" s="19"/>
      <c r="Z70" t="str">
        <f>IF(OR(T70="要発注",T70="欠品",T70="在庫異常"),COUNTIF($T$10:T70,"要発注")+COUNTIF($T$10:T70,"欠品")+COUNTIF($T$10:T70,"在庫異常"),"")</f>
        <v/>
      </c>
    </row>
    <row r="71" spans="2:26">
      <c r="B71" s="8" t="str">
        <f>IF(C71="","",COUNTA($C$10:C71))</f>
        <v/>
      </c>
      <c r="C71" s="9"/>
      <c r="D71" s="19"/>
      <c r="E71" s="19"/>
      <c r="F71" s="10"/>
      <c r="G71" s="11"/>
      <c r="H71" s="9"/>
      <c r="I71" s="11"/>
      <c r="J71" s="19"/>
      <c r="K71" s="12"/>
      <c r="L71" s="13" t="str">
        <f>IF(C71="","",SUMIFS(入出庫履歴!$G$10:$G$1009,入出庫履歴!$E$10:$E$1009,C71,入出庫履歴!$D$10:$D$1009,"入庫"))</f>
        <v/>
      </c>
      <c r="M71" s="13" t="str">
        <f>IF(C71="","",SUMIFS(入出庫履歴!$G$10:$G$1009,入出庫履歴!$E$10:$E$1009,C71,入出庫履歴!$D$10:$D$1009,"出庫"))</f>
        <v/>
      </c>
      <c r="N71" s="13" t="str">
        <f>IF(C71="","",SUMIFS(入出庫履歴!$G$10:$G$1009,入出庫履歴!$E$10:$E$1009,C71,入出庫履歴!$D$10:$D$1009,"廃棄"))</f>
        <v/>
      </c>
      <c r="O71" s="14" t="str">
        <f>IF(C71="","",SUMIFS(入出庫履歴!$G$10:$G$1009,入出庫履歴!$E$10:$E$1009,C71,入出庫履歴!$D$10:$D$1009,"棚卸調整"))</f>
        <v/>
      </c>
      <c r="P71" s="13" t="str">
        <f t="shared" si="0"/>
        <v/>
      </c>
      <c r="Q71" s="15" t="str">
        <f t="shared" si="1"/>
        <v/>
      </c>
      <c r="R71" s="16"/>
      <c r="S71" s="16"/>
      <c r="T71" s="17" t="str">
        <f t="shared" si="2"/>
        <v/>
      </c>
      <c r="U71" s="13" t="str">
        <f t="shared" si="3"/>
        <v/>
      </c>
      <c r="V71" s="18" t="str">
        <f>IF(C71="","",IF(_xlfn.MINIFS(入出庫履歴!$K$10:$K$1009,入出庫履歴!$E$10:$E$1009,C71,入出庫履歴!$N$10:$N$1009,"&gt;0")=0,"",_xlfn.MINIFS(入出庫履歴!$K$10:$K$1009,入出庫履歴!$E$10:$E$1009,C71,入出庫履歴!$N$10:$N$1009,"&gt;0")))</f>
        <v/>
      </c>
      <c r="W71" s="17" t="str">
        <f ca="1">IF(OR(V71="",P71&lt;=0),"",IF(V71&lt;TODAY(),"期限切れ",IF(V71-TODAY()&lt;=設定!$C$4,"期限間近","")))</f>
        <v/>
      </c>
      <c r="X71" s="19"/>
      <c r="Y71" s="19"/>
      <c r="Z71" t="str">
        <f>IF(OR(T71="要発注",T71="欠品",T71="在庫異常"),COUNTIF($T$10:T71,"要発注")+COUNTIF($T$10:T71,"欠品")+COUNTIF($T$10:T71,"在庫異常"),"")</f>
        <v/>
      </c>
    </row>
    <row r="72" spans="2:26">
      <c r="B72" s="8" t="str">
        <f>IF(C72="","",COUNTA($C$10:C72))</f>
        <v/>
      </c>
      <c r="C72" s="9"/>
      <c r="D72" s="19"/>
      <c r="E72" s="19"/>
      <c r="F72" s="10"/>
      <c r="G72" s="11"/>
      <c r="H72" s="9"/>
      <c r="I72" s="11"/>
      <c r="J72" s="19"/>
      <c r="K72" s="12"/>
      <c r="L72" s="13" t="str">
        <f>IF(C72="","",SUMIFS(入出庫履歴!$G$10:$G$1009,入出庫履歴!$E$10:$E$1009,C72,入出庫履歴!$D$10:$D$1009,"入庫"))</f>
        <v/>
      </c>
      <c r="M72" s="13" t="str">
        <f>IF(C72="","",SUMIFS(入出庫履歴!$G$10:$G$1009,入出庫履歴!$E$10:$E$1009,C72,入出庫履歴!$D$10:$D$1009,"出庫"))</f>
        <v/>
      </c>
      <c r="N72" s="13" t="str">
        <f>IF(C72="","",SUMIFS(入出庫履歴!$G$10:$G$1009,入出庫履歴!$E$10:$E$1009,C72,入出庫履歴!$D$10:$D$1009,"廃棄"))</f>
        <v/>
      </c>
      <c r="O72" s="14" t="str">
        <f>IF(C72="","",SUMIFS(入出庫履歴!$G$10:$G$1009,入出庫履歴!$E$10:$E$1009,C72,入出庫履歴!$D$10:$D$1009,"棚卸調整"))</f>
        <v/>
      </c>
      <c r="P72" s="13" t="str">
        <f t="shared" si="0"/>
        <v/>
      </c>
      <c r="Q72" s="15" t="str">
        <f t="shared" si="1"/>
        <v/>
      </c>
      <c r="R72" s="16"/>
      <c r="S72" s="16"/>
      <c r="T72" s="17" t="str">
        <f t="shared" si="2"/>
        <v/>
      </c>
      <c r="U72" s="13" t="str">
        <f t="shared" si="3"/>
        <v/>
      </c>
      <c r="V72" s="18" t="str">
        <f>IF(C72="","",IF(_xlfn.MINIFS(入出庫履歴!$K$10:$K$1009,入出庫履歴!$E$10:$E$1009,C72,入出庫履歴!$N$10:$N$1009,"&gt;0")=0,"",_xlfn.MINIFS(入出庫履歴!$K$10:$K$1009,入出庫履歴!$E$10:$E$1009,C72,入出庫履歴!$N$10:$N$1009,"&gt;0")))</f>
        <v/>
      </c>
      <c r="W72" s="17" t="str">
        <f ca="1">IF(OR(V72="",P72&lt;=0),"",IF(V72&lt;TODAY(),"期限切れ",IF(V72-TODAY()&lt;=設定!$C$4,"期限間近","")))</f>
        <v/>
      </c>
      <c r="X72" s="19"/>
      <c r="Y72" s="19"/>
      <c r="Z72" t="str">
        <f>IF(OR(T72="要発注",T72="欠品",T72="在庫異常"),COUNTIF($T$10:T72,"要発注")+COUNTIF($T$10:T72,"欠品")+COUNTIF($T$10:T72,"在庫異常"),"")</f>
        <v/>
      </c>
    </row>
    <row r="73" spans="2:26">
      <c r="B73" s="8" t="str">
        <f>IF(C73="","",COUNTA($C$10:C73))</f>
        <v/>
      </c>
      <c r="C73" s="9"/>
      <c r="D73" s="19"/>
      <c r="E73" s="19"/>
      <c r="F73" s="10"/>
      <c r="G73" s="11"/>
      <c r="H73" s="9"/>
      <c r="I73" s="11"/>
      <c r="J73" s="19"/>
      <c r="K73" s="12"/>
      <c r="L73" s="13" t="str">
        <f>IF(C73="","",SUMIFS(入出庫履歴!$G$10:$G$1009,入出庫履歴!$E$10:$E$1009,C73,入出庫履歴!$D$10:$D$1009,"入庫"))</f>
        <v/>
      </c>
      <c r="M73" s="13" t="str">
        <f>IF(C73="","",SUMIFS(入出庫履歴!$G$10:$G$1009,入出庫履歴!$E$10:$E$1009,C73,入出庫履歴!$D$10:$D$1009,"出庫"))</f>
        <v/>
      </c>
      <c r="N73" s="13" t="str">
        <f>IF(C73="","",SUMIFS(入出庫履歴!$G$10:$G$1009,入出庫履歴!$E$10:$E$1009,C73,入出庫履歴!$D$10:$D$1009,"廃棄"))</f>
        <v/>
      </c>
      <c r="O73" s="14" t="str">
        <f>IF(C73="","",SUMIFS(入出庫履歴!$G$10:$G$1009,入出庫履歴!$E$10:$E$1009,C73,入出庫履歴!$D$10:$D$1009,"棚卸調整"))</f>
        <v/>
      </c>
      <c r="P73" s="13" t="str">
        <f t="shared" si="0"/>
        <v/>
      </c>
      <c r="Q73" s="15" t="str">
        <f t="shared" si="1"/>
        <v/>
      </c>
      <c r="R73" s="16"/>
      <c r="S73" s="16"/>
      <c r="T73" s="17" t="str">
        <f t="shared" si="2"/>
        <v/>
      </c>
      <c r="U73" s="13" t="str">
        <f t="shared" si="3"/>
        <v/>
      </c>
      <c r="V73" s="18" t="str">
        <f>IF(C73="","",IF(_xlfn.MINIFS(入出庫履歴!$K$10:$K$1009,入出庫履歴!$E$10:$E$1009,C73,入出庫履歴!$N$10:$N$1009,"&gt;0")=0,"",_xlfn.MINIFS(入出庫履歴!$K$10:$K$1009,入出庫履歴!$E$10:$E$1009,C73,入出庫履歴!$N$10:$N$1009,"&gt;0")))</f>
        <v/>
      </c>
      <c r="W73" s="17" t="str">
        <f ca="1">IF(OR(V73="",P73&lt;=0),"",IF(V73&lt;TODAY(),"期限切れ",IF(V73-TODAY()&lt;=設定!$C$4,"期限間近","")))</f>
        <v/>
      </c>
      <c r="X73" s="19"/>
      <c r="Y73" s="19"/>
      <c r="Z73" t="str">
        <f>IF(OR(T73="要発注",T73="欠品",T73="在庫異常"),COUNTIF($T$10:T73,"要発注")+COUNTIF($T$10:T73,"欠品")+COUNTIF($T$10:T73,"在庫異常"),"")</f>
        <v/>
      </c>
    </row>
    <row r="74" spans="2:26">
      <c r="B74" s="8" t="str">
        <f>IF(C74="","",COUNTA($C$10:C74))</f>
        <v/>
      </c>
      <c r="C74" s="9"/>
      <c r="D74" s="19"/>
      <c r="E74" s="19"/>
      <c r="F74" s="10"/>
      <c r="G74" s="11"/>
      <c r="H74" s="9"/>
      <c r="I74" s="11"/>
      <c r="J74" s="19"/>
      <c r="K74" s="12"/>
      <c r="L74" s="13" t="str">
        <f>IF(C74="","",SUMIFS(入出庫履歴!$G$10:$G$1009,入出庫履歴!$E$10:$E$1009,C74,入出庫履歴!$D$10:$D$1009,"入庫"))</f>
        <v/>
      </c>
      <c r="M74" s="13" t="str">
        <f>IF(C74="","",SUMIFS(入出庫履歴!$G$10:$G$1009,入出庫履歴!$E$10:$E$1009,C74,入出庫履歴!$D$10:$D$1009,"出庫"))</f>
        <v/>
      </c>
      <c r="N74" s="13" t="str">
        <f>IF(C74="","",SUMIFS(入出庫履歴!$G$10:$G$1009,入出庫履歴!$E$10:$E$1009,C74,入出庫履歴!$D$10:$D$1009,"廃棄"))</f>
        <v/>
      </c>
      <c r="O74" s="14" t="str">
        <f>IF(C74="","",SUMIFS(入出庫履歴!$G$10:$G$1009,入出庫履歴!$E$10:$E$1009,C74,入出庫履歴!$D$10:$D$1009,"棚卸調整"))</f>
        <v/>
      </c>
      <c r="P74" s="13" t="str">
        <f t="shared" ref="P74:P137" si="4">IF(C74="","",L74-M74-N74+O74)</f>
        <v/>
      </c>
      <c r="Q74" s="15" t="str">
        <f t="shared" ref="Q74:Q137" si="5">IF(OR(C74="",K74=""),"",ROUND(P74*K74,0))</f>
        <v/>
      </c>
      <c r="R74" s="16"/>
      <c r="S74" s="16"/>
      <c r="T74" s="17" t="str">
        <f t="shared" ref="T74:T137" si="6">IF(C74="","",IF(P74&lt;0,"在庫異常",IF(P74=0,"欠品",IF(AND(R74&lt;&gt;"",P74&lt;=R74),"要発注","適正"))))</f>
        <v/>
      </c>
      <c r="U74" s="13" t="str">
        <f t="shared" ref="U74:U137" si="7">IF(OR(T74="要発注",T74="欠品"),IF(S74&gt;0,CEILING(MAX(R74-P74,0)+S74*0.0001,S74),MAX(R74-P74,0)),"")</f>
        <v/>
      </c>
      <c r="V74" s="18" t="str">
        <f>IF(C74="","",IF(_xlfn.MINIFS(入出庫履歴!$K$10:$K$1009,入出庫履歴!$E$10:$E$1009,C74,入出庫履歴!$N$10:$N$1009,"&gt;0")=0,"",_xlfn.MINIFS(入出庫履歴!$K$10:$K$1009,入出庫履歴!$E$10:$E$1009,C74,入出庫履歴!$N$10:$N$1009,"&gt;0")))</f>
        <v/>
      </c>
      <c r="W74" s="17" t="str">
        <f ca="1">IF(OR(V74="",P74&lt;=0),"",IF(V74&lt;TODAY(),"期限切れ",IF(V74-TODAY()&lt;=設定!$C$4,"期限間近","")))</f>
        <v/>
      </c>
      <c r="X74" s="19"/>
      <c r="Y74" s="19"/>
      <c r="Z74" t="str">
        <f>IF(OR(T74="要発注",T74="欠品",T74="在庫異常"),COUNTIF($T$10:T74,"要発注")+COUNTIF($T$10:T74,"欠品")+COUNTIF($T$10:T74,"在庫異常"),"")</f>
        <v/>
      </c>
    </row>
    <row r="75" spans="2:26">
      <c r="B75" s="8" t="str">
        <f>IF(C75="","",COUNTA($C$10:C75))</f>
        <v/>
      </c>
      <c r="C75" s="9"/>
      <c r="D75" s="19"/>
      <c r="E75" s="19"/>
      <c r="F75" s="10"/>
      <c r="G75" s="11"/>
      <c r="H75" s="9"/>
      <c r="I75" s="11"/>
      <c r="J75" s="19"/>
      <c r="K75" s="12"/>
      <c r="L75" s="13" t="str">
        <f>IF(C75="","",SUMIFS(入出庫履歴!$G$10:$G$1009,入出庫履歴!$E$10:$E$1009,C75,入出庫履歴!$D$10:$D$1009,"入庫"))</f>
        <v/>
      </c>
      <c r="M75" s="13" t="str">
        <f>IF(C75="","",SUMIFS(入出庫履歴!$G$10:$G$1009,入出庫履歴!$E$10:$E$1009,C75,入出庫履歴!$D$10:$D$1009,"出庫"))</f>
        <v/>
      </c>
      <c r="N75" s="13" t="str">
        <f>IF(C75="","",SUMIFS(入出庫履歴!$G$10:$G$1009,入出庫履歴!$E$10:$E$1009,C75,入出庫履歴!$D$10:$D$1009,"廃棄"))</f>
        <v/>
      </c>
      <c r="O75" s="14" t="str">
        <f>IF(C75="","",SUMIFS(入出庫履歴!$G$10:$G$1009,入出庫履歴!$E$10:$E$1009,C75,入出庫履歴!$D$10:$D$1009,"棚卸調整"))</f>
        <v/>
      </c>
      <c r="P75" s="13" t="str">
        <f t="shared" si="4"/>
        <v/>
      </c>
      <c r="Q75" s="15" t="str">
        <f t="shared" si="5"/>
        <v/>
      </c>
      <c r="R75" s="16"/>
      <c r="S75" s="16"/>
      <c r="T75" s="17" t="str">
        <f t="shared" si="6"/>
        <v/>
      </c>
      <c r="U75" s="13" t="str">
        <f t="shared" si="7"/>
        <v/>
      </c>
      <c r="V75" s="18" t="str">
        <f>IF(C75="","",IF(_xlfn.MINIFS(入出庫履歴!$K$10:$K$1009,入出庫履歴!$E$10:$E$1009,C75,入出庫履歴!$N$10:$N$1009,"&gt;0")=0,"",_xlfn.MINIFS(入出庫履歴!$K$10:$K$1009,入出庫履歴!$E$10:$E$1009,C75,入出庫履歴!$N$10:$N$1009,"&gt;0")))</f>
        <v/>
      </c>
      <c r="W75" s="17" t="str">
        <f ca="1">IF(OR(V75="",P75&lt;=0),"",IF(V75&lt;TODAY(),"期限切れ",IF(V75-TODAY()&lt;=設定!$C$4,"期限間近","")))</f>
        <v/>
      </c>
      <c r="X75" s="19"/>
      <c r="Y75" s="19"/>
      <c r="Z75" t="str">
        <f>IF(OR(T75="要発注",T75="欠品",T75="在庫異常"),COUNTIF($T$10:T75,"要発注")+COUNTIF($T$10:T75,"欠品")+COUNTIF($T$10:T75,"在庫異常"),"")</f>
        <v/>
      </c>
    </row>
    <row r="76" spans="2:26">
      <c r="B76" s="8" t="str">
        <f>IF(C76="","",COUNTA($C$10:C76))</f>
        <v/>
      </c>
      <c r="C76" s="9"/>
      <c r="D76" s="19"/>
      <c r="E76" s="19"/>
      <c r="F76" s="10"/>
      <c r="G76" s="11"/>
      <c r="H76" s="9"/>
      <c r="I76" s="11"/>
      <c r="J76" s="19"/>
      <c r="K76" s="12"/>
      <c r="L76" s="13" t="str">
        <f>IF(C76="","",SUMIFS(入出庫履歴!$G$10:$G$1009,入出庫履歴!$E$10:$E$1009,C76,入出庫履歴!$D$10:$D$1009,"入庫"))</f>
        <v/>
      </c>
      <c r="M76" s="13" t="str">
        <f>IF(C76="","",SUMIFS(入出庫履歴!$G$10:$G$1009,入出庫履歴!$E$10:$E$1009,C76,入出庫履歴!$D$10:$D$1009,"出庫"))</f>
        <v/>
      </c>
      <c r="N76" s="13" t="str">
        <f>IF(C76="","",SUMIFS(入出庫履歴!$G$10:$G$1009,入出庫履歴!$E$10:$E$1009,C76,入出庫履歴!$D$10:$D$1009,"廃棄"))</f>
        <v/>
      </c>
      <c r="O76" s="14" t="str">
        <f>IF(C76="","",SUMIFS(入出庫履歴!$G$10:$G$1009,入出庫履歴!$E$10:$E$1009,C76,入出庫履歴!$D$10:$D$1009,"棚卸調整"))</f>
        <v/>
      </c>
      <c r="P76" s="13" t="str">
        <f t="shared" si="4"/>
        <v/>
      </c>
      <c r="Q76" s="15" t="str">
        <f t="shared" si="5"/>
        <v/>
      </c>
      <c r="R76" s="16"/>
      <c r="S76" s="16"/>
      <c r="T76" s="17" t="str">
        <f t="shared" si="6"/>
        <v/>
      </c>
      <c r="U76" s="13" t="str">
        <f t="shared" si="7"/>
        <v/>
      </c>
      <c r="V76" s="18" t="str">
        <f>IF(C76="","",IF(_xlfn.MINIFS(入出庫履歴!$K$10:$K$1009,入出庫履歴!$E$10:$E$1009,C76,入出庫履歴!$N$10:$N$1009,"&gt;0")=0,"",_xlfn.MINIFS(入出庫履歴!$K$10:$K$1009,入出庫履歴!$E$10:$E$1009,C76,入出庫履歴!$N$10:$N$1009,"&gt;0")))</f>
        <v/>
      </c>
      <c r="W76" s="17" t="str">
        <f ca="1">IF(OR(V76="",P76&lt;=0),"",IF(V76&lt;TODAY(),"期限切れ",IF(V76-TODAY()&lt;=設定!$C$4,"期限間近","")))</f>
        <v/>
      </c>
      <c r="X76" s="19"/>
      <c r="Y76" s="19"/>
      <c r="Z76" t="str">
        <f>IF(OR(T76="要発注",T76="欠品",T76="在庫異常"),COUNTIF($T$10:T76,"要発注")+COUNTIF($T$10:T76,"欠品")+COUNTIF($T$10:T76,"在庫異常"),"")</f>
        <v/>
      </c>
    </row>
    <row r="77" spans="2:26">
      <c r="B77" s="8" t="str">
        <f>IF(C77="","",COUNTA($C$10:C77))</f>
        <v/>
      </c>
      <c r="C77" s="9"/>
      <c r="D77" s="19"/>
      <c r="E77" s="19"/>
      <c r="F77" s="10"/>
      <c r="G77" s="11"/>
      <c r="H77" s="9"/>
      <c r="I77" s="11"/>
      <c r="J77" s="19"/>
      <c r="K77" s="12"/>
      <c r="L77" s="13" t="str">
        <f>IF(C77="","",SUMIFS(入出庫履歴!$G$10:$G$1009,入出庫履歴!$E$10:$E$1009,C77,入出庫履歴!$D$10:$D$1009,"入庫"))</f>
        <v/>
      </c>
      <c r="M77" s="13" t="str">
        <f>IF(C77="","",SUMIFS(入出庫履歴!$G$10:$G$1009,入出庫履歴!$E$10:$E$1009,C77,入出庫履歴!$D$10:$D$1009,"出庫"))</f>
        <v/>
      </c>
      <c r="N77" s="13" t="str">
        <f>IF(C77="","",SUMIFS(入出庫履歴!$G$10:$G$1009,入出庫履歴!$E$10:$E$1009,C77,入出庫履歴!$D$10:$D$1009,"廃棄"))</f>
        <v/>
      </c>
      <c r="O77" s="14" t="str">
        <f>IF(C77="","",SUMIFS(入出庫履歴!$G$10:$G$1009,入出庫履歴!$E$10:$E$1009,C77,入出庫履歴!$D$10:$D$1009,"棚卸調整"))</f>
        <v/>
      </c>
      <c r="P77" s="13" t="str">
        <f t="shared" si="4"/>
        <v/>
      </c>
      <c r="Q77" s="15" t="str">
        <f t="shared" si="5"/>
        <v/>
      </c>
      <c r="R77" s="16"/>
      <c r="S77" s="16"/>
      <c r="T77" s="17" t="str">
        <f t="shared" si="6"/>
        <v/>
      </c>
      <c r="U77" s="13" t="str">
        <f t="shared" si="7"/>
        <v/>
      </c>
      <c r="V77" s="18" t="str">
        <f>IF(C77="","",IF(_xlfn.MINIFS(入出庫履歴!$K$10:$K$1009,入出庫履歴!$E$10:$E$1009,C77,入出庫履歴!$N$10:$N$1009,"&gt;0")=0,"",_xlfn.MINIFS(入出庫履歴!$K$10:$K$1009,入出庫履歴!$E$10:$E$1009,C77,入出庫履歴!$N$10:$N$1009,"&gt;0")))</f>
        <v/>
      </c>
      <c r="W77" s="17" t="str">
        <f ca="1">IF(OR(V77="",P77&lt;=0),"",IF(V77&lt;TODAY(),"期限切れ",IF(V77-TODAY()&lt;=設定!$C$4,"期限間近","")))</f>
        <v/>
      </c>
      <c r="X77" s="19"/>
      <c r="Y77" s="19"/>
      <c r="Z77" t="str">
        <f>IF(OR(T77="要発注",T77="欠品",T77="在庫異常"),COUNTIF($T$10:T77,"要発注")+COUNTIF($T$10:T77,"欠品")+COUNTIF($T$10:T77,"在庫異常"),"")</f>
        <v/>
      </c>
    </row>
    <row r="78" spans="2:26">
      <c r="B78" s="8" t="str">
        <f>IF(C78="","",COUNTA($C$10:C78))</f>
        <v/>
      </c>
      <c r="C78" s="9"/>
      <c r="D78" s="19"/>
      <c r="E78" s="19"/>
      <c r="F78" s="10"/>
      <c r="G78" s="11"/>
      <c r="H78" s="9"/>
      <c r="I78" s="11"/>
      <c r="J78" s="19"/>
      <c r="K78" s="12"/>
      <c r="L78" s="13" t="str">
        <f>IF(C78="","",SUMIFS(入出庫履歴!$G$10:$G$1009,入出庫履歴!$E$10:$E$1009,C78,入出庫履歴!$D$10:$D$1009,"入庫"))</f>
        <v/>
      </c>
      <c r="M78" s="13" t="str">
        <f>IF(C78="","",SUMIFS(入出庫履歴!$G$10:$G$1009,入出庫履歴!$E$10:$E$1009,C78,入出庫履歴!$D$10:$D$1009,"出庫"))</f>
        <v/>
      </c>
      <c r="N78" s="13" t="str">
        <f>IF(C78="","",SUMIFS(入出庫履歴!$G$10:$G$1009,入出庫履歴!$E$10:$E$1009,C78,入出庫履歴!$D$10:$D$1009,"廃棄"))</f>
        <v/>
      </c>
      <c r="O78" s="14" t="str">
        <f>IF(C78="","",SUMIFS(入出庫履歴!$G$10:$G$1009,入出庫履歴!$E$10:$E$1009,C78,入出庫履歴!$D$10:$D$1009,"棚卸調整"))</f>
        <v/>
      </c>
      <c r="P78" s="13" t="str">
        <f t="shared" si="4"/>
        <v/>
      </c>
      <c r="Q78" s="15" t="str">
        <f t="shared" si="5"/>
        <v/>
      </c>
      <c r="R78" s="16"/>
      <c r="S78" s="16"/>
      <c r="T78" s="17" t="str">
        <f t="shared" si="6"/>
        <v/>
      </c>
      <c r="U78" s="13" t="str">
        <f t="shared" si="7"/>
        <v/>
      </c>
      <c r="V78" s="18" t="str">
        <f>IF(C78="","",IF(_xlfn.MINIFS(入出庫履歴!$K$10:$K$1009,入出庫履歴!$E$10:$E$1009,C78,入出庫履歴!$N$10:$N$1009,"&gt;0")=0,"",_xlfn.MINIFS(入出庫履歴!$K$10:$K$1009,入出庫履歴!$E$10:$E$1009,C78,入出庫履歴!$N$10:$N$1009,"&gt;0")))</f>
        <v/>
      </c>
      <c r="W78" s="17" t="str">
        <f ca="1">IF(OR(V78="",P78&lt;=0),"",IF(V78&lt;TODAY(),"期限切れ",IF(V78-TODAY()&lt;=設定!$C$4,"期限間近","")))</f>
        <v/>
      </c>
      <c r="X78" s="19"/>
      <c r="Y78" s="19"/>
      <c r="Z78" t="str">
        <f>IF(OR(T78="要発注",T78="欠品",T78="在庫異常"),COUNTIF($T$10:T78,"要発注")+COUNTIF($T$10:T78,"欠品")+COUNTIF($T$10:T78,"在庫異常"),"")</f>
        <v/>
      </c>
    </row>
    <row r="79" spans="2:26">
      <c r="B79" s="8" t="str">
        <f>IF(C79="","",COUNTA($C$10:C79))</f>
        <v/>
      </c>
      <c r="C79" s="9"/>
      <c r="D79" s="19"/>
      <c r="E79" s="19"/>
      <c r="F79" s="10"/>
      <c r="G79" s="11"/>
      <c r="H79" s="9"/>
      <c r="I79" s="11"/>
      <c r="J79" s="19"/>
      <c r="K79" s="12"/>
      <c r="L79" s="13" t="str">
        <f>IF(C79="","",SUMIFS(入出庫履歴!$G$10:$G$1009,入出庫履歴!$E$10:$E$1009,C79,入出庫履歴!$D$10:$D$1009,"入庫"))</f>
        <v/>
      </c>
      <c r="M79" s="13" t="str">
        <f>IF(C79="","",SUMIFS(入出庫履歴!$G$10:$G$1009,入出庫履歴!$E$10:$E$1009,C79,入出庫履歴!$D$10:$D$1009,"出庫"))</f>
        <v/>
      </c>
      <c r="N79" s="13" t="str">
        <f>IF(C79="","",SUMIFS(入出庫履歴!$G$10:$G$1009,入出庫履歴!$E$10:$E$1009,C79,入出庫履歴!$D$10:$D$1009,"廃棄"))</f>
        <v/>
      </c>
      <c r="O79" s="14" t="str">
        <f>IF(C79="","",SUMIFS(入出庫履歴!$G$10:$G$1009,入出庫履歴!$E$10:$E$1009,C79,入出庫履歴!$D$10:$D$1009,"棚卸調整"))</f>
        <v/>
      </c>
      <c r="P79" s="13" t="str">
        <f t="shared" si="4"/>
        <v/>
      </c>
      <c r="Q79" s="15" t="str">
        <f t="shared" si="5"/>
        <v/>
      </c>
      <c r="R79" s="16"/>
      <c r="S79" s="16"/>
      <c r="T79" s="17" t="str">
        <f t="shared" si="6"/>
        <v/>
      </c>
      <c r="U79" s="13" t="str">
        <f t="shared" si="7"/>
        <v/>
      </c>
      <c r="V79" s="18" t="str">
        <f>IF(C79="","",IF(_xlfn.MINIFS(入出庫履歴!$K$10:$K$1009,入出庫履歴!$E$10:$E$1009,C79,入出庫履歴!$N$10:$N$1009,"&gt;0")=0,"",_xlfn.MINIFS(入出庫履歴!$K$10:$K$1009,入出庫履歴!$E$10:$E$1009,C79,入出庫履歴!$N$10:$N$1009,"&gt;0")))</f>
        <v/>
      </c>
      <c r="W79" s="17" t="str">
        <f ca="1">IF(OR(V79="",P79&lt;=0),"",IF(V79&lt;TODAY(),"期限切れ",IF(V79-TODAY()&lt;=設定!$C$4,"期限間近","")))</f>
        <v/>
      </c>
      <c r="X79" s="19"/>
      <c r="Y79" s="19"/>
      <c r="Z79" t="str">
        <f>IF(OR(T79="要発注",T79="欠品",T79="在庫異常"),COUNTIF($T$10:T79,"要発注")+COUNTIF($T$10:T79,"欠品")+COUNTIF($T$10:T79,"在庫異常"),"")</f>
        <v/>
      </c>
    </row>
    <row r="80" spans="2:26">
      <c r="B80" s="8" t="str">
        <f>IF(C80="","",COUNTA($C$10:C80))</f>
        <v/>
      </c>
      <c r="C80" s="9"/>
      <c r="D80" s="19"/>
      <c r="E80" s="19"/>
      <c r="F80" s="10"/>
      <c r="G80" s="11"/>
      <c r="H80" s="9"/>
      <c r="I80" s="11"/>
      <c r="J80" s="19"/>
      <c r="K80" s="12"/>
      <c r="L80" s="13" t="str">
        <f>IF(C80="","",SUMIFS(入出庫履歴!$G$10:$G$1009,入出庫履歴!$E$10:$E$1009,C80,入出庫履歴!$D$10:$D$1009,"入庫"))</f>
        <v/>
      </c>
      <c r="M80" s="13" t="str">
        <f>IF(C80="","",SUMIFS(入出庫履歴!$G$10:$G$1009,入出庫履歴!$E$10:$E$1009,C80,入出庫履歴!$D$10:$D$1009,"出庫"))</f>
        <v/>
      </c>
      <c r="N80" s="13" t="str">
        <f>IF(C80="","",SUMIFS(入出庫履歴!$G$10:$G$1009,入出庫履歴!$E$10:$E$1009,C80,入出庫履歴!$D$10:$D$1009,"廃棄"))</f>
        <v/>
      </c>
      <c r="O80" s="14" t="str">
        <f>IF(C80="","",SUMIFS(入出庫履歴!$G$10:$G$1009,入出庫履歴!$E$10:$E$1009,C80,入出庫履歴!$D$10:$D$1009,"棚卸調整"))</f>
        <v/>
      </c>
      <c r="P80" s="13" t="str">
        <f t="shared" si="4"/>
        <v/>
      </c>
      <c r="Q80" s="15" t="str">
        <f t="shared" si="5"/>
        <v/>
      </c>
      <c r="R80" s="16"/>
      <c r="S80" s="16"/>
      <c r="T80" s="17" t="str">
        <f t="shared" si="6"/>
        <v/>
      </c>
      <c r="U80" s="13" t="str">
        <f t="shared" si="7"/>
        <v/>
      </c>
      <c r="V80" s="18" t="str">
        <f>IF(C80="","",IF(_xlfn.MINIFS(入出庫履歴!$K$10:$K$1009,入出庫履歴!$E$10:$E$1009,C80,入出庫履歴!$N$10:$N$1009,"&gt;0")=0,"",_xlfn.MINIFS(入出庫履歴!$K$10:$K$1009,入出庫履歴!$E$10:$E$1009,C80,入出庫履歴!$N$10:$N$1009,"&gt;0")))</f>
        <v/>
      </c>
      <c r="W80" s="17" t="str">
        <f ca="1">IF(OR(V80="",P80&lt;=0),"",IF(V80&lt;TODAY(),"期限切れ",IF(V80-TODAY()&lt;=設定!$C$4,"期限間近","")))</f>
        <v/>
      </c>
      <c r="X80" s="19"/>
      <c r="Y80" s="19"/>
      <c r="Z80" t="str">
        <f>IF(OR(T80="要発注",T80="欠品",T80="在庫異常"),COUNTIF($T$10:T80,"要発注")+COUNTIF($T$10:T80,"欠品")+COUNTIF($T$10:T80,"在庫異常"),"")</f>
        <v/>
      </c>
    </row>
    <row r="81" spans="2:26">
      <c r="B81" s="8" t="str">
        <f>IF(C81="","",COUNTA($C$10:C81))</f>
        <v/>
      </c>
      <c r="C81" s="9"/>
      <c r="D81" s="19"/>
      <c r="E81" s="19"/>
      <c r="F81" s="10"/>
      <c r="G81" s="11"/>
      <c r="H81" s="9"/>
      <c r="I81" s="11"/>
      <c r="J81" s="19"/>
      <c r="K81" s="12"/>
      <c r="L81" s="13" t="str">
        <f>IF(C81="","",SUMIFS(入出庫履歴!$G$10:$G$1009,入出庫履歴!$E$10:$E$1009,C81,入出庫履歴!$D$10:$D$1009,"入庫"))</f>
        <v/>
      </c>
      <c r="M81" s="13" t="str">
        <f>IF(C81="","",SUMIFS(入出庫履歴!$G$10:$G$1009,入出庫履歴!$E$10:$E$1009,C81,入出庫履歴!$D$10:$D$1009,"出庫"))</f>
        <v/>
      </c>
      <c r="N81" s="13" t="str">
        <f>IF(C81="","",SUMIFS(入出庫履歴!$G$10:$G$1009,入出庫履歴!$E$10:$E$1009,C81,入出庫履歴!$D$10:$D$1009,"廃棄"))</f>
        <v/>
      </c>
      <c r="O81" s="14" t="str">
        <f>IF(C81="","",SUMIFS(入出庫履歴!$G$10:$G$1009,入出庫履歴!$E$10:$E$1009,C81,入出庫履歴!$D$10:$D$1009,"棚卸調整"))</f>
        <v/>
      </c>
      <c r="P81" s="13" t="str">
        <f t="shared" si="4"/>
        <v/>
      </c>
      <c r="Q81" s="15" t="str">
        <f t="shared" si="5"/>
        <v/>
      </c>
      <c r="R81" s="16"/>
      <c r="S81" s="16"/>
      <c r="T81" s="17" t="str">
        <f t="shared" si="6"/>
        <v/>
      </c>
      <c r="U81" s="13" t="str">
        <f t="shared" si="7"/>
        <v/>
      </c>
      <c r="V81" s="18" t="str">
        <f>IF(C81="","",IF(_xlfn.MINIFS(入出庫履歴!$K$10:$K$1009,入出庫履歴!$E$10:$E$1009,C81,入出庫履歴!$N$10:$N$1009,"&gt;0")=0,"",_xlfn.MINIFS(入出庫履歴!$K$10:$K$1009,入出庫履歴!$E$10:$E$1009,C81,入出庫履歴!$N$10:$N$1009,"&gt;0")))</f>
        <v/>
      </c>
      <c r="W81" s="17" t="str">
        <f ca="1">IF(OR(V81="",P81&lt;=0),"",IF(V81&lt;TODAY(),"期限切れ",IF(V81-TODAY()&lt;=設定!$C$4,"期限間近","")))</f>
        <v/>
      </c>
      <c r="X81" s="19"/>
      <c r="Y81" s="19"/>
      <c r="Z81" t="str">
        <f>IF(OR(T81="要発注",T81="欠品",T81="在庫異常"),COUNTIF($T$10:T81,"要発注")+COUNTIF($T$10:T81,"欠品")+COUNTIF($T$10:T81,"在庫異常"),"")</f>
        <v/>
      </c>
    </row>
    <row r="82" spans="2:26">
      <c r="B82" s="8" t="str">
        <f>IF(C82="","",COUNTA($C$10:C82))</f>
        <v/>
      </c>
      <c r="C82" s="9"/>
      <c r="D82" s="19"/>
      <c r="E82" s="19"/>
      <c r="F82" s="10"/>
      <c r="G82" s="11"/>
      <c r="H82" s="9"/>
      <c r="I82" s="11"/>
      <c r="J82" s="19"/>
      <c r="K82" s="12"/>
      <c r="L82" s="13" t="str">
        <f>IF(C82="","",SUMIFS(入出庫履歴!$G$10:$G$1009,入出庫履歴!$E$10:$E$1009,C82,入出庫履歴!$D$10:$D$1009,"入庫"))</f>
        <v/>
      </c>
      <c r="M82" s="13" t="str">
        <f>IF(C82="","",SUMIFS(入出庫履歴!$G$10:$G$1009,入出庫履歴!$E$10:$E$1009,C82,入出庫履歴!$D$10:$D$1009,"出庫"))</f>
        <v/>
      </c>
      <c r="N82" s="13" t="str">
        <f>IF(C82="","",SUMIFS(入出庫履歴!$G$10:$G$1009,入出庫履歴!$E$10:$E$1009,C82,入出庫履歴!$D$10:$D$1009,"廃棄"))</f>
        <v/>
      </c>
      <c r="O82" s="14" t="str">
        <f>IF(C82="","",SUMIFS(入出庫履歴!$G$10:$G$1009,入出庫履歴!$E$10:$E$1009,C82,入出庫履歴!$D$10:$D$1009,"棚卸調整"))</f>
        <v/>
      </c>
      <c r="P82" s="13" t="str">
        <f t="shared" si="4"/>
        <v/>
      </c>
      <c r="Q82" s="15" t="str">
        <f t="shared" si="5"/>
        <v/>
      </c>
      <c r="R82" s="16"/>
      <c r="S82" s="16"/>
      <c r="T82" s="17" t="str">
        <f t="shared" si="6"/>
        <v/>
      </c>
      <c r="U82" s="13" t="str">
        <f t="shared" si="7"/>
        <v/>
      </c>
      <c r="V82" s="18" t="str">
        <f>IF(C82="","",IF(_xlfn.MINIFS(入出庫履歴!$K$10:$K$1009,入出庫履歴!$E$10:$E$1009,C82,入出庫履歴!$N$10:$N$1009,"&gt;0")=0,"",_xlfn.MINIFS(入出庫履歴!$K$10:$K$1009,入出庫履歴!$E$10:$E$1009,C82,入出庫履歴!$N$10:$N$1009,"&gt;0")))</f>
        <v/>
      </c>
      <c r="W82" s="17" t="str">
        <f ca="1">IF(OR(V82="",P82&lt;=0),"",IF(V82&lt;TODAY(),"期限切れ",IF(V82-TODAY()&lt;=設定!$C$4,"期限間近","")))</f>
        <v/>
      </c>
      <c r="X82" s="19"/>
      <c r="Y82" s="19"/>
      <c r="Z82" t="str">
        <f>IF(OR(T82="要発注",T82="欠品",T82="在庫異常"),COUNTIF($T$10:T82,"要発注")+COUNTIF($T$10:T82,"欠品")+COUNTIF($T$10:T82,"在庫異常"),"")</f>
        <v/>
      </c>
    </row>
    <row r="83" spans="2:26">
      <c r="B83" s="8" t="str">
        <f>IF(C83="","",COUNTA($C$10:C83))</f>
        <v/>
      </c>
      <c r="C83" s="9"/>
      <c r="D83" s="19"/>
      <c r="E83" s="19"/>
      <c r="F83" s="10"/>
      <c r="G83" s="11"/>
      <c r="H83" s="9"/>
      <c r="I83" s="11"/>
      <c r="J83" s="19"/>
      <c r="K83" s="12"/>
      <c r="L83" s="13" t="str">
        <f>IF(C83="","",SUMIFS(入出庫履歴!$G$10:$G$1009,入出庫履歴!$E$10:$E$1009,C83,入出庫履歴!$D$10:$D$1009,"入庫"))</f>
        <v/>
      </c>
      <c r="M83" s="13" t="str">
        <f>IF(C83="","",SUMIFS(入出庫履歴!$G$10:$G$1009,入出庫履歴!$E$10:$E$1009,C83,入出庫履歴!$D$10:$D$1009,"出庫"))</f>
        <v/>
      </c>
      <c r="N83" s="13" t="str">
        <f>IF(C83="","",SUMIFS(入出庫履歴!$G$10:$G$1009,入出庫履歴!$E$10:$E$1009,C83,入出庫履歴!$D$10:$D$1009,"廃棄"))</f>
        <v/>
      </c>
      <c r="O83" s="14" t="str">
        <f>IF(C83="","",SUMIFS(入出庫履歴!$G$10:$G$1009,入出庫履歴!$E$10:$E$1009,C83,入出庫履歴!$D$10:$D$1009,"棚卸調整"))</f>
        <v/>
      </c>
      <c r="P83" s="13" t="str">
        <f t="shared" si="4"/>
        <v/>
      </c>
      <c r="Q83" s="15" t="str">
        <f t="shared" si="5"/>
        <v/>
      </c>
      <c r="R83" s="16"/>
      <c r="S83" s="16"/>
      <c r="T83" s="17" t="str">
        <f t="shared" si="6"/>
        <v/>
      </c>
      <c r="U83" s="13" t="str">
        <f t="shared" si="7"/>
        <v/>
      </c>
      <c r="V83" s="18" t="str">
        <f>IF(C83="","",IF(_xlfn.MINIFS(入出庫履歴!$K$10:$K$1009,入出庫履歴!$E$10:$E$1009,C83,入出庫履歴!$N$10:$N$1009,"&gt;0")=0,"",_xlfn.MINIFS(入出庫履歴!$K$10:$K$1009,入出庫履歴!$E$10:$E$1009,C83,入出庫履歴!$N$10:$N$1009,"&gt;0")))</f>
        <v/>
      </c>
      <c r="W83" s="17" t="str">
        <f ca="1">IF(OR(V83="",P83&lt;=0),"",IF(V83&lt;TODAY(),"期限切れ",IF(V83-TODAY()&lt;=設定!$C$4,"期限間近","")))</f>
        <v/>
      </c>
      <c r="X83" s="19"/>
      <c r="Y83" s="19"/>
      <c r="Z83" t="str">
        <f>IF(OR(T83="要発注",T83="欠品",T83="在庫異常"),COUNTIF($T$10:T83,"要発注")+COUNTIF($T$10:T83,"欠品")+COUNTIF($T$10:T83,"在庫異常"),"")</f>
        <v/>
      </c>
    </row>
    <row r="84" spans="2:26">
      <c r="B84" s="8" t="str">
        <f>IF(C84="","",COUNTA($C$10:C84))</f>
        <v/>
      </c>
      <c r="C84" s="9"/>
      <c r="D84" s="19"/>
      <c r="E84" s="19"/>
      <c r="F84" s="10"/>
      <c r="G84" s="11"/>
      <c r="H84" s="9"/>
      <c r="I84" s="11"/>
      <c r="J84" s="19"/>
      <c r="K84" s="12"/>
      <c r="L84" s="13" t="str">
        <f>IF(C84="","",SUMIFS(入出庫履歴!$G$10:$G$1009,入出庫履歴!$E$10:$E$1009,C84,入出庫履歴!$D$10:$D$1009,"入庫"))</f>
        <v/>
      </c>
      <c r="M84" s="13" t="str">
        <f>IF(C84="","",SUMIFS(入出庫履歴!$G$10:$G$1009,入出庫履歴!$E$10:$E$1009,C84,入出庫履歴!$D$10:$D$1009,"出庫"))</f>
        <v/>
      </c>
      <c r="N84" s="13" t="str">
        <f>IF(C84="","",SUMIFS(入出庫履歴!$G$10:$G$1009,入出庫履歴!$E$10:$E$1009,C84,入出庫履歴!$D$10:$D$1009,"廃棄"))</f>
        <v/>
      </c>
      <c r="O84" s="14" t="str">
        <f>IF(C84="","",SUMIFS(入出庫履歴!$G$10:$G$1009,入出庫履歴!$E$10:$E$1009,C84,入出庫履歴!$D$10:$D$1009,"棚卸調整"))</f>
        <v/>
      </c>
      <c r="P84" s="13" t="str">
        <f t="shared" si="4"/>
        <v/>
      </c>
      <c r="Q84" s="15" t="str">
        <f t="shared" si="5"/>
        <v/>
      </c>
      <c r="R84" s="16"/>
      <c r="S84" s="16"/>
      <c r="T84" s="17" t="str">
        <f t="shared" si="6"/>
        <v/>
      </c>
      <c r="U84" s="13" t="str">
        <f t="shared" si="7"/>
        <v/>
      </c>
      <c r="V84" s="18" t="str">
        <f>IF(C84="","",IF(_xlfn.MINIFS(入出庫履歴!$K$10:$K$1009,入出庫履歴!$E$10:$E$1009,C84,入出庫履歴!$N$10:$N$1009,"&gt;0")=0,"",_xlfn.MINIFS(入出庫履歴!$K$10:$K$1009,入出庫履歴!$E$10:$E$1009,C84,入出庫履歴!$N$10:$N$1009,"&gt;0")))</f>
        <v/>
      </c>
      <c r="W84" s="17" t="str">
        <f ca="1">IF(OR(V84="",P84&lt;=0),"",IF(V84&lt;TODAY(),"期限切れ",IF(V84-TODAY()&lt;=設定!$C$4,"期限間近","")))</f>
        <v/>
      </c>
      <c r="X84" s="19"/>
      <c r="Y84" s="19"/>
      <c r="Z84" t="str">
        <f>IF(OR(T84="要発注",T84="欠品",T84="在庫異常"),COUNTIF($T$10:T84,"要発注")+COUNTIF($T$10:T84,"欠品")+COUNTIF($T$10:T84,"在庫異常"),"")</f>
        <v/>
      </c>
    </row>
    <row r="85" spans="2:26">
      <c r="B85" s="8" t="str">
        <f>IF(C85="","",COUNTA($C$10:C85))</f>
        <v/>
      </c>
      <c r="C85" s="9"/>
      <c r="D85" s="19"/>
      <c r="E85" s="19"/>
      <c r="F85" s="10"/>
      <c r="G85" s="11"/>
      <c r="H85" s="9"/>
      <c r="I85" s="11"/>
      <c r="J85" s="19"/>
      <c r="K85" s="12"/>
      <c r="L85" s="13" t="str">
        <f>IF(C85="","",SUMIFS(入出庫履歴!$G$10:$G$1009,入出庫履歴!$E$10:$E$1009,C85,入出庫履歴!$D$10:$D$1009,"入庫"))</f>
        <v/>
      </c>
      <c r="M85" s="13" t="str">
        <f>IF(C85="","",SUMIFS(入出庫履歴!$G$10:$G$1009,入出庫履歴!$E$10:$E$1009,C85,入出庫履歴!$D$10:$D$1009,"出庫"))</f>
        <v/>
      </c>
      <c r="N85" s="13" t="str">
        <f>IF(C85="","",SUMIFS(入出庫履歴!$G$10:$G$1009,入出庫履歴!$E$10:$E$1009,C85,入出庫履歴!$D$10:$D$1009,"廃棄"))</f>
        <v/>
      </c>
      <c r="O85" s="14" t="str">
        <f>IF(C85="","",SUMIFS(入出庫履歴!$G$10:$G$1009,入出庫履歴!$E$10:$E$1009,C85,入出庫履歴!$D$10:$D$1009,"棚卸調整"))</f>
        <v/>
      </c>
      <c r="P85" s="13" t="str">
        <f t="shared" si="4"/>
        <v/>
      </c>
      <c r="Q85" s="15" t="str">
        <f t="shared" si="5"/>
        <v/>
      </c>
      <c r="R85" s="16"/>
      <c r="S85" s="16"/>
      <c r="T85" s="17" t="str">
        <f t="shared" si="6"/>
        <v/>
      </c>
      <c r="U85" s="13" t="str">
        <f t="shared" si="7"/>
        <v/>
      </c>
      <c r="V85" s="18" t="str">
        <f>IF(C85="","",IF(_xlfn.MINIFS(入出庫履歴!$K$10:$K$1009,入出庫履歴!$E$10:$E$1009,C85,入出庫履歴!$N$10:$N$1009,"&gt;0")=0,"",_xlfn.MINIFS(入出庫履歴!$K$10:$K$1009,入出庫履歴!$E$10:$E$1009,C85,入出庫履歴!$N$10:$N$1009,"&gt;0")))</f>
        <v/>
      </c>
      <c r="W85" s="17" t="str">
        <f ca="1">IF(OR(V85="",P85&lt;=0),"",IF(V85&lt;TODAY(),"期限切れ",IF(V85-TODAY()&lt;=設定!$C$4,"期限間近","")))</f>
        <v/>
      </c>
      <c r="X85" s="19"/>
      <c r="Y85" s="19"/>
      <c r="Z85" t="str">
        <f>IF(OR(T85="要発注",T85="欠品",T85="在庫異常"),COUNTIF($T$10:T85,"要発注")+COUNTIF($T$10:T85,"欠品")+COUNTIF($T$10:T85,"在庫異常"),"")</f>
        <v/>
      </c>
    </row>
    <row r="86" spans="2:26">
      <c r="B86" s="8" t="str">
        <f>IF(C86="","",COUNTA($C$10:C86))</f>
        <v/>
      </c>
      <c r="C86" s="9"/>
      <c r="D86" s="19"/>
      <c r="E86" s="19"/>
      <c r="F86" s="10"/>
      <c r="G86" s="11"/>
      <c r="H86" s="9"/>
      <c r="I86" s="11"/>
      <c r="J86" s="19"/>
      <c r="K86" s="12"/>
      <c r="L86" s="13" t="str">
        <f>IF(C86="","",SUMIFS(入出庫履歴!$G$10:$G$1009,入出庫履歴!$E$10:$E$1009,C86,入出庫履歴!$D$10:$D$1009,"入庫"))</f>
        <v/>
      </c>
      <c r="M86" s="13" t="str">
        <f>IF(C86="","",SUMIFS(入出庫履歴!$G$10:$G$1009,入出庫履歴!$E$10:$E$1009,C86,入出庫履歴!$D$10:$D$1009,"出庫"))</f>
        <v/>
      </c>
      <c r="N86" s="13" t="str">
        <f>IF(C86="","",SUMIFS(入出庫履歴!$G$10:$G$1009,入出庫履歴!$E$10:$E$1009,C86,入出庫履歴!$D$10:$D$1009,"廃棄"))</f>
        <v/>
      </c>
      <c r="O86" s="14" t="str">
        <f>IF(C86="","",SUMIFS(入出庫履歴!$G$10:$G$1009,入出庫履歴!$E$10:$E$1009,C86,入出庫履歴!$D$10:$D$1009,"棚卸調整"))</f>
        <v/>
      </c>
      <c r="P86" s="13" t="str">
        <f t="shared" si="4"/>
        <v/>
      </c>
      <c r="Q86" s="15" t="str">
        <f t="shared" si="5"/>
        <v/>
      </c>
      <c r="R86" s="16"/>
      <c r="S86" s="16"/>
      <c r="T86" s="17" t="str">
        <f t="shared" si="6"/>
        <v/>
      </c>
      <c r="U86" s="13" t="str">
        <f t="shared" si="7"/>
        <v/>
      </c>
      <c r="V86" s="18" t="str">
        <f>IF(C86="","",IF(_xlfn.MINIFS(入出庫履歴!$K$10:$K$1009,入出庫履歴!$E$10:$E$1009,C86,入出庫履歴!$N$10:$N$1009,"&gt;0")=0,"",_xlfn.MINIFS(入出庫履歴!$K$10:$K$1009,入出庫履歴!$E$10:$E$1009,C86,入出庫履歴!$N$10:$N$1009,"&gt;0")))</f>
        <v/>
      </c>
      <c r="W86" s="17" t="str">
        <f ca="1">IF(OR(V86="",P86&lt;=0),"",IF(V86&lt;TODAY(),"期限切れ",IF(V86-TODAY()&lt;=設定!$C$4,"期限間近","")))</f>
        <v/>
      </c>
      <c r="X86" s="19"/>
      <c r="Y86" s="19"/>
      <c r="Z86" t="str">
        <f>IF(OR(T86="要発注",T86="欠品",T86="在庫異常"),COUNTIF($T$10:T86,"要発注")+COUNTIF($T$10:T86,"欠品")+COUNTIF($T$10:T86,"在庫異常"),"")</f>
        <v/>
      </c>
    </row>
    <row r="87" spans="2:26">
      <c r="B87" s="8" t="str">
        <f>IF(C87="","",COUNTA($C$10:C87))</f>
        <v/>
      </c>
      <c r="C87" s="9"/>
      <c r="D87" s="19"/>
      <c r="E87" s="19"/>
      <c r="F87" s="10"/>
      <c r="G87" s="11"/>
      <c r="H87" s="9"/>
      <c r="I87" s="11"/>
      <c r="J87" s="19"/>
      <c r="K87" s="12"/>
      <c r="L87" s="13" t="str">
        <f>IF(C87="","",SUMIFS(入出庫履歴!$G$10:$G$1009,入出庫履歴!$E$10:$E$1009,C87,入出庫履歴!$D$10:$D$1009,"入庫"))</f>
        <v/>
      </c>
      <c r="M87" s="13" t="str">
        <f>IF(C87="","",SUMIFS(入出庫履歴!$G$10:$G$1009,入出庫履歴!$E$10:$E$1009,C87,入出庫履歴!$D$10:$D$1009,"出庫"))</f>
        <v/>
      </c>
      <c r="N87" s="13" t="str">
        <f>IF(C87="","",SUMIFS(入出庫履歴!$G$10:$G$1009,入出庫履歴!$E$10:$E$1009,C87,入出庫履歴!$D$10:$D$1009,"廃棄"))</f>
        <v/>
      </c>
      <c r="O87" s="14" t="str">
        <f>IF(C87="","",SUMIFS(入出庫履歴!$G$10:$G$1009,入出庫履歴!$E$10:$E$1009,C87,入出庫履歴!$D$10:$D$1009,"棚卸調整"))</f>
        <v/>
      </c>
      <c r="P87" s="13" t="str">
        <f t="shared" si="4"/>
        <v/>
      </c>
      <c r="Q87" s="15" t="str">
        <f t="shared" si="5"/>
        <v/>
      </c>
      <c r="R87" s="16"/>
      <c r="S87" s="16"/>
      <c r="T87" s="17" t="str">
        <f t="shared" si="6"/>
        <v/>
      </c>
      <c r="U87" s="13" t="str">
        <f t="shared" si="7"/>
        <v/>
      </c>
      <c r="V87" s="18" t="str">
        <f>IF(C87="","",IF(_xlfn.MINIFS(入出庫履歴!$K$10:$K$1009,入出庫履歴!$E$10:$E$1009,C87,入出庫履歴!$N$10:$N$1009,"&gt;0")=0,"",_xlfn.MINIFS(入出庫履歴!$K$10:$K$1009,入出庫履歴!$E$10:$E$1009,C87,入出庫履歴!$N$10:$N$1009,"&gt;0")))</f>
        <v/>
      </c>
      <c r="W87" s="17" t="str">
        <f ca="1">IF(OR(V87="",P87&lt;=0),"",IF(V87&lt;TODAY(),"期限切れ",IF(V87-TODAY()&lt;=設定!$C$4,"期限間近","")))</f>
        <v/>
      </c>
      <c r="X87" s="19"/>
      <c r="Y87" s="19"/>
      <c r="Z87" t="str">
        <f>IF(OR(T87="要発注",T87="欠品",T87="在庫異常"),COUNTIF($T$10:T87,"要発注")+COUNTIF($T$10:T87,"欠品")+COUNTIF($T$10:T87,"在庫異常"),"")</f>
        <v/>
      </c>
    </row>
    <row r="88" spans="2:26">
      <c r="B88" s="8" t="str">
        <f>IF(C88="","",COUNTA($C$10:C88))</f>
        <v/>
      </c>
      <c r="C88" s="9"/>
      <c r="D88" s="19"/>
      <c r="E88" s="19"/>
      <c r="F88" s="10"/>
      <c r="G88" s="11"/>
      <c r="H88" s="9"/>
      <c r="I88" s="11"/>
      <c r="J88" s="19"/>
      <c r="K88" s="12"/>
      <c r="L88" s="13" t="str">
        <f>IF(C88="","",SUMIFS(入出庫履歴!$G$10:$G$1009,入出庫履歴!$E$10:$E$1009,C88,入出庫履歴!$D$10:$D$1009,"入庫"))</f>
        <v/>
      </c>
      <c r="M88" s="13" t="str">
        <f>IF(C88="","",SUMIFS(入出庫履歴!$G$10:$G$1009,入出庫履歴!$E$10:$E$1009,C88,入出庫履歴!$D$10:$D$1009,"出庫"))</f>
        <v/>
      </c>
      <c r="N88" s="13" t="str">
        <f>IF(C88="","",SUMIFS(入出庫履歴!$G$10:$G$1009,入出庫履歴!$E$10:$E$1009,C88,入出庫履歴!$D$10:$D$1009,"廃棄"))</f>
        <v/>
      </c>
      <c r="O88" s="14" t="str">
        <f>IF(C88="","",SUMIFS(入出庫履歴!$G$10:$G$1009,入出庫履歴!$E$10:$E$1009,C88,入出庫履歴!$D$10:$D$1009,"棚卸調整"))</f>
        <v/>
      </c>
      <c r="P88" s="13" t="str">
        <f t="shared" si="4"/>
        <v/>
      </c>
      <c r="Q88" s="15" t="str">
        <f t="shared" si="5"/>
        <v/>
      </c>
      <c r="R88" s="16"/>
      <c r="S88" s="16"/>
      <c r="T88" s="17" t="str">
        <f t="shared" si="6"/>
        <v/>
      </c>
      <c r="U88" s="13" t="str">
        <f t="shared" si="7"/>
        <v/>
      </c>
      <c r="V88" s="18" t="str">
        <f>IF(C88="","",IF(_xlfn.MINIFS(入出庫履歴!$K$10:$K$1009,入出庫履歴!$E$10:$E$1009,C88,入出庫履歴!$N$10:$N$1009,"&gt;0")=0,"",_xlfn.MINIFS(入出庫履歴!$K$10:$K$1009,入出庫履歴!$E$10:$E$1009,C88,入出庫履歴!$N$10:$N$1009,"&gt;0")))</f>
        <v/>
      </c>
      <c r="W88" s="17" t="str">
        <f ca="1">IF(OR(V88="",P88&lt;=0),"",IF(V88&lt;TODAY(),"期限切れ",IF(V88-TODAY()&lt;=設定!$C$4,"期限間近","")))</f>
        <v/>
      </c>
      <c r="X88" s="19"/>
      <c r="Y88" s="19"/>
      <c r="Z88" t="str">
        <f>IF(OR(T88="要発注",T88="欠品",T88="在庫異常"),COUNTIF($T$10:T88,"要発注")+COUNTIF($T$10:T88,"欠品")+COUNTIF($T$10:T88,"在庫異常"),"")</f>
        <v/>
      </c>
    </row>
    <row r="89" spans="2:26">
      <c r="B89" s="8" t="str">
        <f>IF(C89="","",COUNTA($C$10:C89))</f>
        <v/>
      </c>
      <c r="C89" s="9"/>
      <c r="D89" s="19"/>
      <c r="E89" s="19"/>
      <c r="F89" s="10"/>
      <c r="G89" s="11"/>
      <c r="H89" s="9"/>
      <c r="I89" s="11"/>
      <c r="J89" s="19"/>
      <c r="K89" s="12"/>
      <c r="L89" s="13" t="str">
        <f>IF(C89="","",SUMIFS(入出庫履歴!$G$10:$G$1009,入出庫履歴!$E$10:$E$1009,C89,入出庫履歴!$D$10:$D$1009,"入庫"))</f>
        <v/>
      </c>
      <c r="M89" s="13" t="str">
        <f>IF(C89="","",SUMIFS(入出庫履歴!$G$10:$G$1009,入出庫履歴!$E$10:$E$1009,C89,入出庫履歴!$D$10:$D$1009,"出庫"))</f>
        <v/>
      </c>
      <c r="N89" s="13" t="str">
        <f>IF(C89="","",SUMIFS(入出庫履歴!$G$10:$G$1009,入出庫履歴!$E$10:$E$1009,C89,入出庫履歴!$D$10:$D$1009,"廃棄"))</f>
        <v/>
      </c>
      <c r="O89" s="14" t="str">
        <f>IF(C89="","",SUMIFS(入出庫履歴!$G$10:$G$1009,入出庫履歴!$E$10:$E$1009,C89,入出庫履歴!$D$10:$D$1009,"棚卸調整"))</f>
        <v/>
      </c>
      <c r="P89" s="13" t="str">
        <f t="shared" si="4"/>
        <v/>
      </c>
      <c r="Q89" s="15" t="str">
        <f t="shared" si="5"/>
        <v/>
      </c>
      <c r="R89" s="16"/>
      <c r="S89" s="16"/>
      <c r="T89" s="17" t="str">
        <f t="shared" si="6"/>
        <v/>
      </c>
      <c r="U89" s="13" t="str">
        <f t="shared" si="7"/>
        <v/>
      </c>
      <c r="V89" s="18" t="str">
        <f>IF(C89="","",IF(_xlfn.MINIFS(入出庫履歴!$K$10:$K$1009,入出庫履歴!$E$10:$E$1009,C89,入出庫履歴!$N$10:$N$1009,"&gt;0")=0,"",_xlfn.MINIFS(入出庫履歴!$K$10:$K$1009,入出庫履歴!$E$10:$E$1009,C89,入出庫履歴!$N$10:$N$1009,"&gt;0")))</f>
        <v/>
      </c>
      <c r="W89" s="17" t="str">
        <f ca="1">IF(OR(V89="",P89&lt;=0),"",IF(V89&lt;TODAY(),"期限切れ",IF(V89-TODAY()&lt;=設定!$C$4,"期限間近","")))</f>
        <v/>
      </c>
      <c r="X89" s="19"/>
      <c r="Y89" s="19"/>
      <c r="Z89" t="str">
        <f>IF(OR(T89="要発注",T89="欠品",T89="在庫異常"),COUNTIF($T$10:T89,"要発注")+COUNTIF($T$10:T89,"欠品")+COUNTIF($T$10:T89,"在庫異常"),"")</f>
        <v/>
      </c>
    </row>
    <row r="90" spans="2:26">
      <c r="B90" s="8" t="str">
        <f>IF(C90="","",COUNTA($C$10:C90))</f>
        <v/>
      </c>
      <c r="C90" s="9"/>
      <c r="D90" s="19"/>
      <c r="E90" s="19"/>
      <c r="F90" s="10"/>
      <c r="G90" s="11"/>
      <c r="H90" s="9"/>
      <c r="I90" s="11"/>
      <c r="J90" s="19"/>
      <c r="K90" s="12"/>
      <c r="L90" s="13" t="str">
        <f>IF(C90="","",SUMIFS(入出庫履歴!$G$10:$G$1009,入出庫履歴!$E$10:$E$1009,C90,入出庫履歴!$D$10:$D$1009,"入庫"))</f>
        <v/>
      </c>
      <c r="M90" s="13" t="str">
        <f>IF(C90="","",SUMIFS(入出庫履歴!$G$10:$G$1009,入出庫履歴!$E$10:$E$1009,C90,入出庫履歴!$D$10:$D$1009,"出庫"))</f>
        <v/>
      </c>
      <c r="N90" s="13" t="str">
        <f>IF(C90="","",SUMIFS(入出庫履歴!$G$10:$G$1009,入出庫履歴!$E$10:$E$1009,C90,入出庫履歴!$D$10:$D$1009,"廃棄"))</f>
        <v/>
      </c>
      <c r="O90" s="14" t="str">
        <f>IF(C90="","",SUMIFS(入出庫履歴!$G$10:$G$1009,入出庫履歴!$E$10:$E$1009,C90,入出庫履歴!$D$10:$D$1009,"棚卸調整"))</f>
        <v/>
      </c>
      <c r="P90" s="13" t="str">
        <f t="shared" si="4"/>
        <v/>
      </c>
      <c r="Q90" s="15" t="str">
        <f t="shared" si="5"/>
        <v/>
      </c>
      <c r="R90" s="16"/>
      <c r="S90" s="16"/>
      <c r="T90" s="17" t="str">
        <f t="shared" si="6"/>
        <v/>
      </c>
      <c r="U90" s="13" t="str">
        <f t="shared" si="7"/>
        <v/>
      </c>
      <c r="V90" s="18" t="str">
        <f>IF(C90="","",IF(_xlfn.MINIFS(入出庫履歴!$K$10:$K$1009,入出庫履歴!$E$10:$E$1009,C90,入出庫履歴!$N$10:$N$1009,"&gt;0")=0,"",_xlfn.MINIFS(入出庫履歴!$K$10:$K$1009,入出庫履歴!$E$10:$E$1009,C90,入出庫履歴!$N$10:$N$1009,"&gt;0")))</f>
        <v/>
      </c>
      <c r="W90" s="17" t="str">
        <f ca="1">IF(OR(V90="",P90&lt;=0),"",IF(V90&lt;TODAY(),"期限切れ",IF(V90-TODAY()&lt;=設定!$C$4,"期限間近","")))</f>
        <v/>
      </c>
      <c r="X90" s="19"/>
      <c r="Y90" s="19"/>
      <c r="Z90" t="str">
        <f>IF(OR(T90="要発注",T90="欠品",T90="在庫異常"),COUNTIF($T$10:T90,"要発注")+COUNTIF($T$10:T90,"欠品")+COUNTIF($T$10:T90,"在庫異常"),"")</f>
        <v/>
      </c>
    </row>
    <row r="91" spans="2:26">
      <c r="B91" s="8" t="str">
        <f>IF(C91="","",COUNTA($C$10:C91))</f>
        <v/>
      </c>
      <c r="C91" s="9"/>
      <c r="D91" s="19"/>
      <c r="E91" s="19"/>
      <c r="F91" s="10"/>
      <c r="G91" s="11"/>
      <c r="H91" s="9"/>
      <c r="I91" s="11"/>
      <c r="J91" s="19"/>
      <c r="K91" s="12"/>
      <c r="L91" s="13" t="str">
        <f>IF(C91="","",SUMIFS(入出庫履歴!$G$10:$G$1009,入出庫履歴!$E$10:$E$1009,C91,入出庫履歴!$D$10:$D$1009,"入庫"))</f>
        <v/>
      </c>
      <c r="M91" s="13" t="str">
        <f>IF(C91="","",SUMIFS(入出庫履歴!$G$10:$G$1009,入出庫履歴!$E$10:$E$1009,C91,入出庫履歴!$D$10:$D$1009,"出庫"))</f>
        <v/>
      </c>
      <c r="N91" s="13" t="str">
        <f>IF(C91="","",SUMIFS(入出庫履歴!$G$10:$G$1009,入出庫履歴!$E$10:$E$1009,C91,入出庫履歴!$D$10:$D$1009,"廃棄"))</f>
        <v/>
      </c>
      <c r="O91" s="14" t="str">
        <f>IF(C91="","",SUMIFS(入出庫履歴!$G$10:$G$1009,入出庫履歴!$E$10:$E$1009,C91,入出庫履歴!$D$10:$D$1009,"棚卸調整"))</f>
        <v/>
      </c>
      <c r="P91" s="13" t="str">
        <f t="shared" si="4"/>
        <v/>
      </c>
      <c r="Q91" s="15" t="str">
        <f t="shared" si="5"/>
        <v/>
      </c>
      <c r="R91" s="16"/>
      <c r="S91" s="16"/>
      <c r="T91" s="17" t="str">
        <f t="shared" si="6"/>
        <v/>
      </c>
      <c r="U91" s="13" t="str">
        <f t="shared" si="7"/>
        <v/>
      </c>
      <c r="V91" s="18" t="str">
        <f>IF(C91="","",IF(_xlfn.MINIFS(入出庫履歴!$K$10:$K$1009,入出庫履歴!$E$10:$E$1009,C91,入出庫履歴!$N$10:$N$1009,"&gt;0")=0,"",_xlfn.MINIFS(入出庫履歴!$K$10:$K$1009,入出庫履歴!$E$10:$E$1009,C91,入出庫履歴!$N$10:$N$1009,"&gt;0")))</f>
        <v/>
      </c>
      <c r="W91" s="17" t="str">
        <f ca="1">IF(OR(V91="",P91&lt;=0),"",IF(V91&lt;TODAY(),"期限切れ",IF(V91-TODAY()&lt;=設定!$C$4,"期限間近","")))</f>
        <v/>
      </c>
      <c r="X91" s="19"/>
      <c r="Y91" s="19"/>
      <c r="Z91" t="str">
        <f>IF(OR(T91="要発注",T91="欠品",T91="在庫異常"),COUNTIF($T$10:T91,"要発注")+COUNTIF($T$10:T91,"欠品")+COUNTIF($T$10:T91,"在庫異常"),"")</f>
        <v/>
      </c>
    </row>
    <row r="92" spans="2:26">
      <c r="B92" s="8" t="str">
        <f>IF(C92="","",COUNTA($C$10:C92))</f>
        <v/>
      </c>
      <c r="C92" s="9"/>
      <c r="D92" s="19"/>
      <c r="E92" s="19"/>
      <c r="F92" s="10"/>
      <c r="G92" s="11"/>
      <c r="H92" s="9"/>
      <c r="I92" s="11"/>
      <c r="J92" s="19"/>
      <c r="K92" s="12"/>
      <c r="L92" s="13" t="str">
        <f>IF(C92="","",SUMIFS(入出庫履歴!$G$10:$G$1009,入出庫履歴!$E$10:$E$1009,C92,入出庫履歴!$D$10:$D$1009,"入庫"))</f>
        <v/>
      </c>
      <c r="M92" s="13" t="str">
        <f>IF(C92="","",SUMIFS(入出庫履歴!$G$10:$G$1009,入出庫履歴!$E$10:$E$1009,C92,入出庫履歴!$D$10:$D$1009,"出庫"))</f>
        <v/>
      </c>
      <c r="N92" s="13" t="str">
        <f>IF(C92="","",SUMIFS(入出庫履歴!$G$10:$G$1009,入出庫履歴!$E$10:$E$1009,C92,入出庫履歴!$D$10:$D$1009,"廃棄"))</f>
        <v/>
      </c>
      <c r="O92" s="14" t="str">
        <f>IF(C92="","",SUMIFS(入出庫履歴!$G$10:$G$1009,入出庫履歴!$E$10:$E$1009,C92,入出庫履歴!$D$10:$D$1009,"棚卸調整"))</f>
        <v/>
      </c>
      <c r="P92" s="13" t="str">
        <f t="shared" si="4"/>
        <v/>
      </c>
      <c r="Q92" s="15" t="str">
        <f t="shared" si="5"/>
        <v/>
      </c>
      <c r="R92" s="16"/>
      <c r="S92" s="16"/>
      <c r="T92" s="17" t="str">
        <f t="shared" si="6"/>
        <v/>
      </c>
      <c r="U92" s="13" t="str">
        <f t="shared" si="7"/>
        <v/>
      </c>
      <c r="V92" s="18" t="str">
        <f>IF(C92="","",IF(_xlfn.MINIFS(入出庫履歴!$K$10:$K$1009,入出庫履歴!$E$10:$E$1009,C92,入出庫履歴!$N$10:$N$1009,"&gt;0")=0,"",_xlfn.MINIFS(入出庫履歴!$K$10:$K$1009,入出庫履歴!$E$10:$E$1009,C92,入出庫履歴!$N$10:$N$1009,"&gt;0")))</f>
        <v/>
      </c>
      <c r="W92" s="17" t="str">
        <f ca="1">IF(OR(V92="",P92&lt;=0),"",IF(V92&lt;TODAY(),"期限切れ",IF(V92-TODAY()&lt;=設定!$C$4,"期限間近","")))</f>
        <v/>
      </c>
      <c r="X92" s="19"/>
      <c r="Y92" s="19"/>
      <c r="Z92" t="str">
        <f>IF(OR(T92="要発注",T92="欠品",T92="在庫異常"),COUNTIF($T$10:T92,"要発注")+COUNTIF($T$10:T92,"欠品")+COUNTIF($T$10:T92,"在庫異常"),"")</f>
        <v/>
      </c>
    </row>
    <row r="93" spans="2:26">
      <c r="B93" s="8" t="str">
        <f>IF(C93="","",COUNTA($C$10:C93))</f>
        <v/>
      </c>
      <c r="C93" s="9"/>
      <c r="D93" s="19"/>
      <c r="E93" s="19"/>
      <c r="F93" s="10"/>
      <c r="G93" s="11"/>
      <c r="H93" s="9"/>
      <c r="I93" s="11"/>
      <c r="J93" s="19"/>
      <c r="K93" s="12"/>
      <c r="L93" s="13" t="str">
        <f>IF(C93="","",SUMIFS(入出庫履歴!$G$10:$G$1009,入出庫履歴!$E$10:$E$1009,C93,入出庫履歴!$D$10:$D$1009,"入庫"))</f>
        <v/>
      </c>
      <c r="M93" s="13" t="str">
        <f>IF(C93="","",SUMIFS(入出庫履歴!$G$10:$G$1009,入出庫履歴!$E$10:$E$1009,C93,入出庫履歴!$D$10:$D$1009,"出庫"))</f>
        <v/>
      </c>
      <c r="N93" s="13" t="str">
        <f>IF(C93="","",SUMIFS(入出庫履歴!$G$10:$G$1009,入出庫履歴!$E$10:$E$1009,C93,入出庫履歴!$D$10:$D$1009,"廃棄"))</f>
        <v/>
      </c>
      <c r="O93" s="14" t="str">
        <f>IF(C93="","",SUMIFS(入出庫履歴!$G$10:$G$1009,入出庫履歴!$E$10:$E$1009,C93,入出庫履歴!$D$10:$D$1009,"棚卸調整"))</f>
        <v/>
      </c>
      <c r="P93" s="13" t="str">
        <f t="shared" si="4"/>
        <v/>
      </c>
      <c r="Q93" s="15" t="str">
        <f t="shared" si="5"/>
        <v/>
      </c>
      <c r="R93" s="16"/>
      <c r="S93" s="16"/>
      <c r="T93" s="17" t="str">
        <f t="shared" si="6"/>
        <v/>
      </c>
      <c r="U93" s="13" t="str">
        <f t="shared" si="7"/>
        <v/>
      </c>
      <c r="V93" s="18" t="str">
        <f>IF(C93="","",IF(_xlfn.MINIFS(入出庫履歴!$K$10:$K$1009,入出庫履歴!$E$10:$E$1009,C93,入出庫履歴!$N$10:$N$1009,"&gt;0")=0,"",_xlfn.MINIFS(入出庫履歴!$K$10:$K$1009,入出庫履歴!$E$10:$E$1009,C93,入出庫履歴!$N$10:$N$1009,"&gt;0")))</f>
        <v/>
      </c>
      <c r="W93" s="17" t="str">
        <f ca="1">IF(OR(V93="",P93&lt;=0),"",IF(V93&lt;TODAY(),"期限切れ",IF(V93-TODAY()&lt;=設定!$C$4,"期限間近","")))</f>
        <v/>
      </c>
      <c r="X93" s="19"/>
      <c r="Y93" s="19"/>
      <c r="Z93" t="str">
        <f>IF(OR(T93="要発注",T93="欠品",T93="在庫異常"),COUNTIF($T$10:T93,"要発注")+COUNTIF($T$10:T93,"欠品")+COUNTIF($T$10:T93,"在庫異常"),"")</f>
        <v/>
      </c>
    </row>
    <row r="94" spans="2:26">
      <c r="B94" s="8" t="str">
        <f>IF(C94="","",COUNTA($C$10:C94))</f>
        <v/>
      </c>
      <c r="C94" s="9"/>
      <c r="D94" s="19"/>
      <c r="E94" s="19"/>
      <c r="F94" s="10"/>
      <c r="G94" s="11"/>
      <c r="H94" s="9"/>
      <c r="I94" s="11"/>
      <c r="J94" s="19"/>
      <c r="K94" s="12"/>
      <c r="L94" s="13" t="str">
        <f>IF(C94="","",SUMIFS(入出庫履歴!$G$10:$G$1009,入出庫履歴!$E$10:$E$1009,C94,入出庫履歴!$D$10:$D$1009,"入庫"))</f>
        <v/>
      </c>
      <c r="M94" s="13" t="str">
        <f>IF(C94="","",SUMIFS(入出庫履歴!$G$10:$G$1009,入出庫履歴!$E$10:$E$1009,C94,入出庫履歴!$D$10:$D$1009,"出庫"))</f>
        <v/>
      </c>
      <c r="N94" s="13" t="str">
        <f>IF(C94="","",SUMIFS(入出庫履歴!$G$10:$G$1009,入出庫履歴!$E$10:$E$1009,C94,入出庫履歴!$D$10:$D$1009,"廃棄"))</f>
        <v/>
      </c>
      <c r="O94" s="14" t="str">
        <f>IF(C94="","",SUMIFS(入出庫履歴!$G$10:$G$1009,入出庫履歴!$E$10:$E$1009,C94,入出庫履歴!$D$10:$D$1009,"棚卸調整"))</f>
        <v/>
      </c>
      <c r="P94" s="13" t="str">
        <f t="shared" si="4"/>
        <v/>
      </c>
      <c r="Q94" s="15" t="str">
        <f t="shared" si="5"/>
        <v/>
      </c>
      <c r="R94" s="16"/>
      <c r="S94" s="16"/>
      <c r="T94" s="17" t="str">
        <f t="shared" si="6"/>
        <v/>
      </c>
      <c r="U94" s="13" t="str">
        <f t="shared" si="7"/>
        <v/>
      </c>
      <c r="V94" s="18" t="str">
        <f>IF(C94="","",IF(_xlfn.MINIFS(入出庫履歴!$K$10:$K$1009,入出庫履歴!$E$10:$E$1009,C94,入出庫履歴!$N$10:$N$1009,"&gt;0")=0,"",_xlfn.MINIFS(入出庫履歴!$K$10:$K$1009,入出庫履歴!$E$10:$E$1009,C94,入出庫履歴!$N$10:$N$1009,"&gt;0")))</f>
        <v/>
      </c>
      <c r="W94" s="17" t="str">
        <f ca="1">IF(OR(V94="",P94&lt;=0),"",IF(V94&lt;TODAY(),"期限切れ",IF(V94-TODAY()&lt;=設定!$C$4,"期限間近","")))</f>
        <v/>
      </c>
      <c r="X94" s="19"/>
      <c r="Y94" s="19"/>
      <c r="Z94" t="str">
        <f>IF(OR(T94="要発注",T94="欠品",T94="在庫異常"),COUNTIF($T$10:T94,"要発注")+COUNTIF($T$10:T94,"欠品")+COUNTIF($T$10:T94,"在庫異常"),"")</f>
        <v/>
      </c>
    </row>
    <row r="95" spans="2:26">
      <c r="B95" s="8" t="str">
        <f>IF(C95="","",COUNTA($C$10:C95))</f>
        <v/>
      </c>
      <c r="C95" s="9"/>
      <c r="D95" s="19"/>
      <c r="E95" s="19"/>
      <c r="F95" s="10"/>
      <c r="G95" s="11"/>
      <c r="H95" s="9"/>
      <c r="I95" s="11"/>
      <c r="J95" s="19"/>
      <c r="K95" s="12"/>
      <c r="L95" s="13" t="str">
        <f>IF(C95="","",SUMIFS(入出庫履歴!$G$10:$G$1009,入出庫履歴!$E$10:$E$1009,C95,入出庫履歴!$D$10:$D$1009,"入庫"))</f>
        <v/>
      </c>
      <c r="M95" s="13" t="str">
        <f>IF(C95="","",SUMIFS(入出庫履歴!$G$10:$G$1009,入出庫履歴!$E$10:$E$1009,C95,入出庫履歴!$D$10:$D$1009,"出庫"))</f>
        <v/>
      </c>
      <c r="N95" s="13" t="str">
        <f>IF(C95="","",SUMIFS(入出庫履歴!$G$10:$G$1009,入出庫履歴!$E$10:$E$1009,C95,入出庫履歴!$D$10:$D$1009,"廃棄"))</f>
        <v/>
      </c>
      <c r="O95" s="14" t="str">
        <f>IF(C95="","",SUMIFS(入出庫履歴!$G$10:$G$1009,入出庫履歴!$E$10:$E$1009,C95,入出庫履歴!$D$10:$D$1009,"棚卸調整"))</f>
        <v/>
      </c>
      <c r="P95" s="13" t="str">
        <f t="shared" si="4"/>
        <v/>
      </c>
      <c r="Q95" s="15" t="str">
        <f t="shared" si="5"/>
        <v/>
      </c>
      <c r="R95" s="16"/>
      <c r="S95" s="16"/>
      <c r="T95" s="17" t="str">
        <f t="shared" si="6"/>
        <v/>
      </c>
      <c r="U95" s="13" t="str">
        <f t="shared" si="7"/>
        <v/>
      </c>
      <c r="V95" s="18" t="str">
        <f>IF(C95="","",IF(_xlfn.MINIFS(入出庫履歴!$K$10:$K$1009,入出庫履歴!$E$10:$E$1009,C95,入出庫履歴!$N$10:$N$1009,"&gt;0")=0,"",_xlfn.MINIFS(入出庫履歴!$K$10:$K$1009,入出庫履歴!$E$10:$E$1009,C95,入出庫履歴!$N$10:$N$1009,"&gt;0")))</f>
        <v/>
      </c>
      <c r="W95" s="17" t="str">
        <f ca="1">IF(OR(V95="",P95&lt;=0),"",IF(V95&lt;TODAY(),"期限切れ",IF(V95-TODAY()&lt;=設定!$C$4,"期限間近","")))</f>
        <v/>
      </c>
      <c r="X95" s="19"/>
      <c r="Y95" s="19"/>
      <c r="Z95" t="str">
        <f>IF(OR(T95="要発注",T95="欠品",T95="在庫異常"),COUNTIF($T$10:T95,"要発注")+COUNTIF($T$10:T95,"欠品")+COUNTIF($T$10:T95,"在庫異常"),"")</f>
        <v/>
      </c>
    </row>
    <row r="96" spans="2:26">
      <c r="B96" s="8" t="str">
        <f>IF(C96="","",COUNTA($C$10:C96))</f>
        <v/>
      </c>
      <c r="C96" s="9"/>
      <c r="D96" s="19"/>
      <c r="E96" s="19"/>
      <c r="F96" s="10"/>
      <c r="G96" s="11"/>
      <c r="H96" s="9"/>
      <c r="I96" s="11"/>
      <c r="J96" s="19"/>
      <c r="K96" s="12"/>
      <c r="L96" s="13" t="str">
        <f>IF(C96="","",SUMIFS(入出庫履歴!$G$10:$G$1009,入出庫履歴!$E$10:$E$1009,C96,入出庫履歴!$D$10:$D$1009,"入庫"))</f>
        <v/>
      </c>
      <c r="M96" s="13" t="str">
        <f>IF(C96="","",SUMIFS(入出庫履歴!$G$10:$G$1009,入出庫履歴!$E$10:$E$1009,C96,入出庫履歴!$D$10:$D$1009,"出庫"))</f>
        <v/>
      </c>
      <c r="N96" s="13" t="str">
        <f>IF(C96="","",SUMIFS(入出庫履歴!$G$10:$G$1009,入出庫履歴!$E$10:$E$1009,C96,入出庫履歴!$D$10:$D$1009,"廃棄"))</f>
        <v/>
      </c>
      <c r="O96" s="14" t="str">
        <f>IF(C96="","",SUMIFS(入出庫履歴!$G$10:$G$1009,入出庫履歴!$E$10:$E$1009,C96,入出庫履歴!$D$10:$D$1009,"棚卸調整"))</f>
        <v/>
      </c>
      <c r="P96" s="13" t="str">
        <f t="shared" si="4"/>
        <v/>
      </c>
      <c r="Q96" s="15" t="str">
        <f t="shared" si="5"/>
        <v/>
      </c>
      <c r="R96" s="16"/>
      <c r="S96" s="16"/>
      <c r="T96" s="17" t="str">
        <f t="shared" si="6"/>
        <v/>
      </c>
      <c r="U96" s="13" t="str">
        <f t="shared" si="7"/>
        <v/>
      </c>
      <c r="V96" s="18" t="str">
        <f>IF(C96="","",IF(_xlfn.MINIFS(入出庫履歴!$K$10:$K$1009,入出庫履歴!$E$10:$E$1009,C96,入出庫履歴!$N$10:$N$1009,"&gt;0")=0,"",_xlfn.MINIFS(入出庫履歴!$K$10:$K$1009,入出庫履歴!$E$10:$E$1009,C96,入出庫履歴!$N$10:$N$1009,"&gt;0")))</f>
        <v/>
      </c>
      <c r="W96" s="17" t="str">
        <f ca="1">IF(OR(V96="",P96&lt;=0),"",IF(V96&lt;TODAY(),"期限切れ",IF(V96-TODAY()&lt;=設定!$C$4,"期限間近","")))</f>
        <v/>
      </c>
      <c r="X96" s="19"/>
      <c r="Y96" s="19"/>
      <c r="Z96" t="str">
        <f>IF(OR(T96="要発注",T96="欠品",T96="在庫異常"),COUNTIF($T$10:T96,"要発注")+COUNTIF($T$10:T96,"欠品")+COUNTIF($T$10:T96,"在庫異常"),"")</f>
        <v/>
      </c>
    </row>
    <row r="97" spans="2:26">
      <c r="B97" s="8" t="str">
        <f>IF(C97="","",COUNTA($C$10:C97))</f>
        <v/>
      </c>
      <c r="C97" s="9"/>
      <c r="D97" s="19"/>
      <c r="E97" s="19"/>
      <c r="F97" s="10"/>
      <c r="G97" s="11"/>
      <c r="H97" s="9"/>
      <c r="I97" s="11"/>
      <c r="J97" s="19"/>
      <c r="K97" s="12"/>
      <c r="L97" s="13" t="str">
        <f>IF(C97="","",SUMIFS(入出庫履歴!$G$10:$G$1009,入出庫履歴!$E$10:$E$1009,C97,入出庫履歴!$D$10:$D$1009,"入庫"))</f>
        <v/>
      </c>
      <c r="M97" s="13" t="str">
        <f>IF(C97="","",SUMIFS(入出庫履歴!$G$10:$G$1009,入出庫履歴!$E$10:$E$1009,C97,入出庫履歴!$D$10:$D$1009,"出庫"))</f>
        <v/>
      </c>
      <c r="N97" s="13" t="str">
        <f>IF(C97="","",SUMIFS(入出庫履歴!$G$10:$G$1009,入出庫履歴!$E$10:$E$1009,C97,入出庫履歴!$D$10:$D$1009,"廃棄"))</f>
        <v/>
      </c>
      <c r="O97" s="14" t="str">
        <f>IF(C97="","",SUMIFS(入出庫履歴!$G$10:$G$1009,入出庫履歴!$E$10:$E$1009,C97,入出庫履歴!$D$10:$D$1009,"棚卸調整"))</f>
        <v/>
      </c>
      <c r="P97" s="13" t="str">
        <f t="shared" si="4"/>
        <v/>
      </c>
      <c r="Q97" s="15" t="str">
        <f t="shared" si="5"/>
        <v/>
      </c>
      <c r="R97" s="16"/>
      <c r="S97" s="16"/>
      <c r="T97" s="17" t="str">
        <f t="shared" si="6"/>
        <v/>
      </c>
      <c r="U97" s="13" t="str">
        <f t="shared" si="7"/>
        <v/>
      </c>
      <c r="V97" s="18" t="str">
        <f>IF(C97="","",IF(_xlfn.MINIFS(入出庫履歴!$K$10:$K$1009,入出庫履歴!$E$10:$E$1009,C97,入出庫履歴!$N$10:$N$1009,"&gt;0")=0,"",_xlfn.MINIFS(入出庫履歴!$K$10:$K$1009,入出庫履歴!$E$10:$E$1009,C97,入出庫履歴!$N$10:$N$1009,"&gt;0")))</f>
        <v/>
      </c>
      <c r="W97" s="17" t="str">
        <f ca="1">IF(OR(V97="",P97&lt;=0),"",IF(V97&lt;TODAY(),"期限切れ",IF(V97-TODAY()&lt;=設定!$C$4,"期限間近","")))</f>
        <v/>
      </c>
      <c r="X97" s="19"/>
      <c r="Y97" s="19"/>
      <c r="Z97" t="str">
        <f>IF(OR(T97="要発注",T97="欠品",T97="在庫異常"),COUNTIF($T$10:T97,"要発注")+COUNTIF($T$10:T97,"欠品")+COUNTIF($T$10:T97,"在庫異常"),"")</f>
        <v/>
      </c>
    </row>
    <row r="98" spans="2:26">
      <c r="B98" s="8" t="str">
        <f>IF(C98="","",COUNTA($C$10:C98))</f>
        <v/>
      </c>
      <c r="C98" s="9"/>
      <c r="D98" s="19"/>
      <c r="E98" s="19"/>
      <c r="F98" s="10"/>
      <c r="G98" s="11"/>
      <c r="H98" s="9"/>
      <c r="I98" s="11"/>
      <c r="J98" s="19"/>
      <c r="K98" s="12"/>
      <c r="L98" s="13" t="str">
        <f>IF(C98="","",SUMIFS(入出庫履歴!$G$10:$G$1009,入出庫履歴!$E$10:$E$1009,C98,入出庫履歴!$D$10:$D$1009,"入庫"))</f>
        <v/>
      </c>
      <c r="M98" s="13" t="str">
        <f>IF(C98="","",SUMIFS(入出庫履歴!$G$10:$G$1009,入出庫履歴!$E$10:$E$1009,C98,入出庫履歴!$D$10:$D$1009,"出庫"))</f>
        <v/>
      </c>
      <c r="N98" s="13" t="str">
        <f>IF(C98="","",SUMIFS(入出庫履歴!$G$10:$G$1009,入出庫履歴!$E$10:$E$1009,C98,入出庫履歴!$D$10:$D$1009,"廃棄"))</f>
        <v/>
      </c>
      <c r="O98" s="14" t="str">
        <f>IF(C98="","",SUMIFS(入出庫履歴!$G$10:$G$1009,入出庫履歴!$E$10:$E$1009,C98,入出庫履歴!$D$10:$D$1009,"棚卸調整"))</f>
        <v/>
      </c>
      <c r="P98" s="13" t="str">
        <f t="shared" si="4"/>
        <v/>
      </c>
      <c r="Q98" s="15" t="str">
        <f t="shared" si="5"/>
        <v/>
      </c>
      <c r="R98" s="16"/>
      <c r="S98" s="16"/>
      <c r="T98" s="17" t="str">
        <f t="shared" si="6"/>
        <v/>
      </c>
      <c r="U98" s="13" t="str">
        <f t="shared" si="7"/>
        <v/>
      </c>
      <c r="V98" s="18" t="str">
        <f>IF(C98="","",IF(_xlfn.MINIFS(入出庫履歴!$K$10:$K$1009,入出庫履歴!$E$10:$E$1009,C98,入出庫履歴!$N$10:$N$1009,"&gt;0")=0,"",_xlfn.MINIFS(入出庫履歴!$K$10:$K$1009,入出庫履歴!$E$10:$E$1009,C98,入出庫履歴!$N$10:$N$1009,"&gt;0")))</f>
        <v/>
      </c>
      <c r="W98" s="17" t="str">
        <f ca="1">IF(OR(V98="",P98&lt;=0),"",IF(V98&lt;TODAY(),"期限切れ",IF(V98-TODAY()&lt;=設定!$C$4,"期限間近","")))</f>
        <v/>
      </c>
      <c r="X98" s="19"/>
      <c r="Y98" s="19"/>
      <c r="Z98" t="str">
        <f>IF(OR(T98="要発注",T98="欠品",T98="在庫異常"),COUNTIF($T$10:T98,"要発注")+COUNTIF($T$10:T98,"欠品")+COUNTIF($T$10:T98,"在庫異常"),"")</f>
        <v/>
      </c>
    </row>
    <row r="99" spans="2:26">
      <c r="B99" s="8" t="str">
        <f>IF(C99="","",COUNTA($C$10:C99))</f>
        <v/>
      </c>
      <c r="C99" s="9"/>
      <c r="D99" s="19"/>
      <c r="E99" s="19"/>
      <c r="F99" s="10"/>
      <c r="G99" s="11"/>
      <c r="H99" s="9"/>
      <c r="I99" s="11"/>
      <c r="J99" s="19"/>
      <c r="K99" s="12"/>
      <c r="L99" s="13" t="str">
        <f>IF(C99="","",SUMIFS(入出庫履歴!$G$10:$G$1009,入出庫履歴!$E$10:$E$1009,C99,入出庫履歴!$D$10:$D$1009,"入庫"))</f>
        <v/>
      </c>
      <c r="M99" s="13" t="str">
        <f>IF(C99="","",SUMIFS(入出庫履歴!$G$10:$G$1009,入出庫履歴!$E$10:$E$1009,C99,入出庫履歴!$D$10:$D$1009,"出庫"))</f>
        <v/>
      </c>
      <c r="N99" s="13" t="str">
        <f>IF(C99="","",SUMIFS(入出庫履歴!$G$10:$G$1009,入出庫履歴!$E$10:$E$1009,C99,入出庫履歴!$D$10:$D$1009,"廃棄"))</f>
        <v/>
      </c>
      <c r="O99" s="14" t="str">
        <f>IF(C99="","",SUMIFS(入出庫履歴!$G$10:$G$1009,入出庫履歴!$E$10:$E$1009,C99,入出庫履歴!$D$10:$D$1009,"棚卸調整"))</f>
        <v/>
      </c>
      <c r="P99" s="13" t="str">
        <f t="shared" si="4"/>
        <v/>
      </c>
      <c r="Q99" s="15" t="str">
        <f t="shared" si="5"/>
        <v/>
      </c>
      <c r="R99" s="16"/>
      <c r="S99" s="16"/>
      <c r="T99" s="17" t="str">
        <f t="shared" si="6"/>
        <v/>
      </c>
      <c r="U99" s="13" t="str">
        <f t="shared" si="7"/>
        <v/>
      </c>
      <c r="V99" s="18" t="str">
        <f>IF(C99="","",IF(_xlfn.MINIFS(入出庫履歴!$K$10:$K$1009,入出庫履歴!$E$10:$E$1009,C99,入出庫履歴!$N$10:$N$1009,"&gt;0")=0,"",_xlfn.MINIFS(入出庫履歴!$K$10:$K$1009,入出庫履歴!$E$10:$E$1009,C99,入出庫履歴!$N$10:$N$1009,"&gt;0")))</f>
        <v/>
      </c>
      <c r="W99" s="17" t="str">
        <f ca="1">IF(OR(V99="",P99&lt;=0),"",IF(V99&lt;TODAY(),"期限切れ",IF(V99-TODAY()&lt;=設定!$C$4,"期限間近","")))</f>
        <v/>
      </c>
      <c r="X99" s="19"/>
      <c r="Y99" s="19"/>
      <c r="Z99" t="str">
        <f>IF(OR(T99="要発注",T99="欠品",T99="在庫異常"),COUNTIF($T$10:T99,"要発注")+COUNTIF($T$10:T99,"欠品")+COUNTIF($T$10:T99,"在庫異常"),"")</f>
        <v/>
      </c>
    </row>
    <row r="100" spans="2:26">
      <c r="B100" s="8" t="str">
        <f>IF(C100="","",COUNTA($C$10:C100))</f>
        <v/>
      </c>
      <c r="C100" s="9"/>
      <c r="D100" s="19"/>
      <c r="E100" s="19"/>
      <c r="F100" s="10"/>
      <c r="G100" s="11"/>
      <c r="H100" s="9"/>
      <c r="I100" s="11"/>
      <c r="J100" s="19"/>
      <c r="K100" s="12"/>
      <c r="L100" s="13" t="str">
        <f>IF(C100="","",SUMIFS(入出庫履歴!$G$10:$G$1009,入出庫履歴!$E$10:$E$1009,C100,入出庫履歴!$D$10:$D$1009,"入庫"))</f>
        <v/>
      </c>
      <c r="M100" s="13" t="str">
        <f>IF(C100="","",SUMIFS(入出庫履歴!$G$10:$G$1009,入出庫履歴!$E$10:$E$1009,C100,入出庫履歴!$D$10:$D$1009,"出庫"))</f>
        <v/>
      </c>
      <c r="N100" s="13" t="str">
        <f>IF(C100="","",SUMIFS(入出庫履歴!$G$10:$G$1009,入出庫履歴!$E$10:$E$1009,C100,入出庫履歴!$D$10:$D$1009,"廃棄"))</f>
        <v/>
      </c>
      <c r="O100" s="14" t="str">
        <f>IF(C100="","",SUMIFS(入出庫履歴!$G$10:$G$1009,入出庫履歴!$E$10:$E$1009,C100,入出庫履歴!$D$10:$D$1009,"棚卸調整"))</f>
        <v/>
      </c>
      <c r="P100" s="13" t="str">
        <f t="shared" si="4"/>
        <v/>
      </c>
      <c r="Q100" s="15" t="str">
        <f t="shared" si="5"/>
        <v/>
      </c>
      <c r="R100" s="16"/>
      <c r="S100" s="16"/>
      <c r="T100" s="17" t="str">
        <f t="shared" si="6"/>
        <v/>
      </c>
      <c r="U100" s="13" t="str">
        <f t="shared" si="7"/>
        <v/>
      </c>
      <c r="V100" s="18" t="str">
        <f>IF(C100="","",IF(_xlfn.MINIFS(入出庫履歴!$K$10:$K$1009,入出庫履歴!$E$10:$E$1009,C100,入出庫履歴!$N$10:$N$1009,"&gt;0")=0,"",_xlfn.MINIFS(入出庫履歴!$K$10:$K$1009,入出庫履歴!$E$10:$E$1009,C100,入出庫履歴!$N$10:$N$1009,"&gt;0")))</f>
        <v/>
      </c>
      <c r="W100" s="17" t="str">
        <f ca="1">IF(OR(V100="",P100&lt;=0),"",IF(V100&lt;TODAY(),"期限切れ",IF(V100-TODAY()&lt;=設定!$C$4,"期限間近","")))</f>
        <v/>
      </c>
      <c r="X100" s="19"/>
      <c r="Y100" s="19"/>
      <c r="Z100" t="str">
        <f>IF(OR(T100="要発注",T100="欠品",T100="在庫異常"),COUNTIF($T$10:T100,"要発注")+COUNTIF($T$10:T100,"欠品")+COUNTIF($T$10:T100,"在庫異常"),"")</f>
        <v/>
      </c>
    </row>
    <row r="101" spans="2:26">
      <c r="B101" s="8" t="str">
        <f>IF(C101="","",COUNTA($C$10:C101))</f>
        <v/>
      </c>
      <c r="C101" s="9"/>
      <c r="D101" s="19"/>
      <c r="E101" s="19"/>
      <c r="F101" s="10"/>
      <c r="G101" s="11"/>
      <c r="H101" s="9"/>
      <c r="I101" s="11"/>
      <c r="J101" s="19"/>
      <c r="K101" s="12"/>
      <c r="L101" s="13" t="str">
        <f>IF(C101="","",SUMIFS(入出庫履歴!$G$10:$G$1009,入出庫履歴!$E$10:$E$1009,C101,入出庫履歴!$D$10:$D$1009,"入庫"))</f>
        <v/>
      </c>
      <c r="M101" s="13" t="str">
        <f>IF(C101="","",SUMIFS(入出庫履歴!$G$10:$G$1009,入出庫履歴!$E$10:$E$1009,C101,入出庫履歴!$D$10:$D$1009,"出庫"))</f>
        <v/>
      </c>
      <c r="N101" s="13" t="str">
        <f>IF(C101="","",SUMIFS(入出庫履歴!$G$10:$G$1009,入出庫履歴!$E$10:$E$1009,C101,入出庫履歴!$D$10:$D$1009,"廃棄"))</f>
        <v/>
      </c>
      <c r="O101" s="14" t="str">
        <f>IF(C101="","",SUMIFS(入出庫履歴!$G$10:$G$1009,入出庫履歴!$E$10:$E$1009,C101,入出庫履歴!$D$10:$D$1009,"棚卸調整"))</f>
        <v/>
      </c>
      <c r="P101" s="13" t="str">
        <f t="shared" si="4"/>
        <v/>
      </c>
      <c r="Q101" s="15" t="str">
        <f t="shared" si="5"/>
        <v/>
      </c>
      <c r="R101" s="16"/>
      <c r="S101" s="16"/>
      <c r="T101" s="17" t="str">
        <f t="shared" si="6"/>
        <v/>
      </c>
      <c r="U101" s="13" t="str">
        <f t="shared" si="7"/>
        <v/>
      </c>
      <c r="V101" s="18" t="str">
        <f>IF(C101="","",IF(_xlfn.MINIFS(入出庫履歴!$K$10:$K$1009,入出庫履歴!$E$10:$E$1009,C101,入出庫履歴!$N$10:$N$1009,"&gt;0")=0,"",_xlfn.MINIFS(入出庫履歴!$K$10:$K$1009,入出庫履歴!$E$10:$E$1009,C101,入出庫履歴!$N$10:$N$1009,"&gt;0")))</f>
        <v/>
      </c>
      <c r="W101" s="17" t="str">
        <f ca="1">IF(OR(V101="",P101&lt;=0),"",IF(V101&lt;TODAY(),"期限切れ",IF(V101-TODAY()&lt;=設定!$C$4,"期限間近","")))</f>
        <v/>
      </c>
      <c r="X101" s="19"/>
      <c r="Y101" s="19"/>
      <c r="Z101" t="str">
        <f>IF(OR(T101="要発注",T101="欠品",T101="在庫異常"),COUNTIF($T$10:T101,"要発注")+COUNTIF($T$10:T101,"欠品")+COUNTIF($T$10:T101,"在庫異常"),"")</f>
        <v/>
      </c>
    </row>
    <row r="102" spans="2:26">
      <c r="B102" s="8" t="str">
        <f>IF(C102="","",COUNTA($C$10:C102))</f>
        <v/>
      </c>
      <c r="C102" s="9"/>
      <c r="D102" s="19"/>
      <c r="E102" s="19"/>
      <c r="F102" s="10"/>
      <c r="G102" s="11"/>
      <c r="H102" s="9"/>
      <c r="I102" s="11"/>
      <c r="J102" s="19"/>
      <c r="K102" s="12"/>
      <c r="L102" s="13" t="str">
        <f>IF(C102="","",SUMIFS(入出庫履歴!$G$10:$G$1009,入出庫履歴!$E$10:$E$1009,C102,入出庫履歴!$D$10:$D$1009,"入庫"))</f>
        <v/>
      </c>
      <c r="M102" s="13" t="str">
        <f>IF(C102="","",SUMIFS(入出庫履歴!$G$10:$G$1009,入出庫履歴!$E$10:$E$1009,C102,入出庫履歴!$D$10:$D$1009,"出庫"))</f>
        <v/>
      </c>
      <c r="N102" s="13" t="str">
        <f>IF(C102="","",SUMIFS(入出庫履歴!$G$10:$G$1009,入出庫履歴!$E$10:$E$1009,C102,入出庫履歴!$D$10:$D$1009,"廃棄"))</f>
        <v/>
      </c>
      <c r="O102" s="14" t="str">
        <f>IF(C102="","",SUMIFS(入出庫履歴!$G$10:$G$1009,入出庫履歴!$E$10:$E$1009,C102,入出庫履歴!$D$10:$D$1009,"棚卸調整"))</f>
        <v/>
      </c>
      <c r="P102" s="13" t="str">
        <f t="shared" si="4"/>
        <v/>
      </c>
      <c r="Q102" s="15" t="str">
        <f t="shared" si="5"/>
        <v/>
      </c>
      <c r="R102" s="16"/>
      <c r="S102" s="16"/>
      <c r="T102" s="17" t="str">
        <f t="shared" si="6"/>
        <v/>
      </c>
      <c r="U102" s="13" t="str">
        <f t="shared" si="7"/>
        <v/>
      </c>
      <c r="V102" s="18" t="str">
        <f>IF(C102="","",IF(_xlfn.MINIFS(入出庫履歴!$K$10:$K$1009,入出庫履歴!$E$10:$E$1009,C102,入出庫履歴!$N$10:$N$1009,"&gt;0")=0,"",_xlfn.MINIFS(入出庫履歴!$K$10:$K$1009,入出庫履歴!$E$10:$E$1009,C102,入出庫履歴!$N$10:$N$1009,"&gt;0")))</f>
        <v/>
      </c>
      <c r="W102" s="17" t="str">
        <f ca="1">IF(OR(V102="",P102&lt;=0),"",IF(V102&lt;TODAY(),"期限切れ",IF(V102-TODAY()&lt;=設定!$C$4,"期限間近","")))</f>
        <v/>
      </c>
      <c r="X102" s="19"/>
      <c r="Y102" s="19"/>
      <c r="Z102" t="str">
        <f>IF(OR(T102="要発注",T102="欠品",T102="在庫異常"),COUNTIF($T$10:T102,"要発注")+COUNTIF($T$10:T102,"欠品")+COUNTIF($T$10:T102,"在庫異常"),"")</f>
        <v/>
      </c>
    </row>
    <row r="103" spans="2:26">
      <c r="B103" s="8" t="str">
        <f>IF(C103="","",COUNTA($C$10:C103))</f>
        <v/>
      </c>
      <c r="C103" s="9"/>
      <c r="D103" s="19"/>
      <c r="E103" s="19"/>
      <c r="F103" s="10"/>
      <c r="G103" s="11"/>
      <c r="H103" s="9"/>
      <c r="I103" s="11"/>
      <c r="J103" s="19"/>
      <c r="K103" s="12"/>
      <c r="L103" s="13" t="str">
        <f>IF(C103="","",SUMIFS(入出庫履歴!$G$10:$G$1009,入出庫履歴!$E$10:$E$1009,C103,入出庫履歴!$D$10:$D$1009,"入庫"))</f>
        <v/>
      </c>
      <c r="M103" s="13" t="str">
        <f>IF(C103="","",SUMIFS(入出庫履歴!$G$10:$G$1009,入出庫履歴!$E$10:$E$1009,C103,入出庫履歴!$D$10:$D$1009,"出庫"))</f>
        <v/>
      </c>
      <c r="N103" s="13" t="str">
        <f>IF(C103="","",SUMIFS(入出庫履歴!$G$10:$G$1009,入出庫履歴!$E$10:$E$1009,C103,入出庫履歴!$D$10:$D$1009,"廃棄"))</f>
        <v/>
      </c>
      <c r="O103" s="14" t="str">
        <f>IF(C103="","",SUMIFS(入出庫履歴!$G$10:$G$1009,入出庫履歴!$E$10:$E$1009,C103,入出庫履歴!$D$10:$D$1009,"棚卸調整"))</f>
        <v/>
      </c>
      <c r="P103" s="13" t="str">
        <f t="shared" si="4"/>
        <v/>
      </c>
      <c r="Q103" s="15" t="str">
        <f t="shared" si="5"/>
        <v/>
      </c>
      <c r="R103" s="16"/>
      <c r="S103" s="16"/>
      <c r="T103" s="17" t="str">
        <f t="shared" si="6"/>
        <v/>
      </c>
      <c r="U103" s="13" t="str">
        <f t="shared" si="7"/>
        <v/>
      </c>
      <c r="V103" s="18" t="str">
        <f>IF(C103="","",IF(_xlfn.MINIFS(入出庫履歴!$K$10:$K$1009,入出庫履歴!$E$10:$E$1009,C103,入出庫履歴!$N$10:$N$1009,"&gt;0")=0,"",_xlfn.MINIFS(入出庫履歴!$K$10:$K$1009,入出庫履歴!$E$10:$E$1009,C103,入出庫履歴!$N$10:$N$1009,"&gt;0")))</f>
        <v/>
      </c>
      <c r="W103" s="17" t="str">
        <f ca="1">IF(OR(V103="",P103&lt;=0),"",IF(V103&lt;TODAY(),"期限切れ",IF(V103-TODAY()&lt;=設定!$C$4,"期限間近","")))</f>
        <v/>
      </c>
      <c r="X103" s="19"/>
      <c r="Y103" s="19"/>
      <c r="Z103" t="str">
        <f>IF(OR(T103="要発注",T103="欠品",T103="在庫異常"),COUNTIF($T$10:T103,"要発注")+COUNTIF($T$10:T103,"欠品")+COUNTIF($T$10:T103,"在庫異常"),"")</f>
        <v/>
      </c>
    </row>
    <row r="104" spans="2:26">
      <c r="B104" s="8" t="str">
        <f>IF(C104="","",COUNTA($C$10:C104))</f>
        <v/>
      </c>
      <c r="C104" s="9"/>
      <c r="D104" s="19"/>
      <c r="E104" s="19"/>
      <c r="F104" s="10"/>
      <c r="G104" s="11"/>
      <c r="H104" s="9"/>
      <c r="I104" s="11"/>
      <c r="J104" s="19"/>
      <c r="K104" s="12"/>
      <c r="L104" s="13" t="str">
        <f>IF(C104="","",SUMIFS(入出庫履歴!$G$10:$G$1009,入出庫履歴!$E$10:$E$1009,C104,入出庫履歴!$D$10:$D$1009,"入庫"))</f>
        <v/>
      </c>
      <c r="M104" s="13" t="str">
        <f>IF(C104="","",SUMIFS(入出庫履歴!$G$10:$G$1009,入出庫履歴!$E$10:$E$1009,C104,入出庫履歴!$D$10:$D$1009,"出庫"))</f>
        <v/>
      </c>
      <c r="N104" s="13" t="str">
        <f>IF(C104="","",SUMIFS(入出庫履歴!$G$10:$G$1009,入出庫履歴!$E$10:$E$1009,C104,入出庫履歴!$D$10:$D$1009,"廃棄"))</f>
        <v/>
      </c>
      <c r="O104" s="14" t="str">
        <f>IF(C104="","",SUMIFS(入出庫履歴!$G$10:$G$1009,入出庫履歴!$E$10:$E$1009,C104,入出庫履歴!$D$10:$D$1009,"棚卸調整"))</f>
        <v/>
      </c>
      <c r="P104" s="13" t="str">
        <f t="shared" si="4"/>
        <v/>
      </c>
      <c r="Q104" s="15" t="str">
        <f t="shared" si="5"/>
        <v/>
      </c>
      <c r="R104" s="16"/>
      <c r="S104" s="16"/>
      <c r="T104" s="17" t="str">
        <f t="shared" si="6"/>
        <v/>
      </c>
      <c r="U104" s="13" t="str">
        <f t="shared" si="7"/>
        <v/>
      </c>
      <c r="V104" s="18" t="str">
        <f>IF(C104="","",IF(_xlfn.MINIFS(入出庫履歴!$K$10:$K$1009,入出庫履歴!$E$10:$E$1009,C104,入出庫履歴!$N$10:$N$1009,"&gt;0")=0,"",_xlfn.MINIFS(入出庫履歴!$K$10:$K$1009,入出庫履歴!$E$10:$E$1009,C104,入出庫履歴!$N$10:$N$1009,"&gt;0")))</f>
        <v/>
      </c>
      <c r="W104" s="17" t="str">
        <f ca="1">IF(OR(V104="",P104&lt;=0),"",IF(V104&lt;TODAY(),"期限切れ",IF(V104-TODAY()&lt;=設定!$C$4,"期限間近","")))</f>
        <v/>
      </c>
      <c r="X104" s="19"/>
      <c r="Y104" s="19"/>
      <c r="Z104" t="str">
        <f>IF(OR(T104="要発注",T104="欠品",T104="在庫異常"),COUNTIF($T$10:T104,"要発注")+COUNTIF($T$10:T104,"欠品")+COUNTIF($T$10:T104,"在庫異常"),"")</f>
        <v/>
      </c>
    </row>
    <row r="105" spans="2:26">
      <c r="B105" s="8" t="str">
        <f>IF(C105="","",COUNTA($C$10:C105))</f>
        <v/>
      </c>
      <c r="C105" s="9"/>
      <c r="D105" s="19"/>
      <c r="E105" s="19"/>
      <c r="F105" s="10"/>
      <c r="G105" s="11"/>
      <c r="H105" s="9"/>
      <c r="I105" s="11"/>
      <c r="J105" s="19"/>
      <c r="K105" s="12"/>
      <c r="L105" s="13" t="str">
        <f>IF(C105="","",SUMIFS(入出庫履歴!$G$10:$G$1009,入出庫履歴!$E$10:$E$1009,C105,入出庫履歴!$D$10:$D$1009,"入庫"))</f>
        <v/>
      </c>
      <c r="M105" s="13" t="str">
        <f>IF(C105="","",SUMIFS(入出庫履歴!$G$10:$G$1009,入出庫履歴!$E$10:$E$1009,C105,入出庫履歴!$D$10:$D$1009,"出庫"))</f>
        <v/>
      </c>
      <c r="N105" s="13" t="str">
        <f>IF(C105="","",SUMIFS(入出庫履歴!$G$10:$G$1009,入出庫履歴!$E$10:$E$1009,C105,入出庫履歴!$D$10:$D$1009,"廃棄"))</f>
        <v/>
      </c>
      <c r="O105" s="14" t="str">
        <f>IF(C105="","",SUMIFS(入出庫履歴!$G$10:$G$1009,入出庫履歴!$E$10:$E$1009,C105,入出庫履歴!$D$10:$D$1009,"棚卸調整"))</f>
        <v/>
      </c>
      <c r="P105" s="13" t="str">
        <f t="shared" si="4"/>
        <v/>
      </c>
      <c r="Q105" s="15" t="str">
        <f t="shared" si="5"/>
        <v/>
      </c>
      <c r="R105" s="16"/>
      <c r="S105" s="16"/>
      <c r="T105" s="17" t="str">
        <f t="shared" si="6"/>
        <v/>
      </c>
      <c r="U105" s="13" t="str">
        <f t="shared" si="7"/>
        <v/>
      </c>
      <c r="V105" s="18" t="str">
        <f>IF(C105="","",IF(_xlfn.MINIFS(入出庫履歴!$K$10:$K$1009,入出庫履歴!$E$10:$E$1009,C105,入出庫履歴!$N$10:$N$1009,"&gt;0")=0,"",_xlfn.MINIFS(入出庫履歴!$K$10:$K$1009,入出庫履歴!$E$10:$E$1009,C105,入出庫履歴!$N$10:$N$1009,"&gt;0")))</f>
        <v/>
      </c>
      <c r="W105" s="17" t="str">
        <f ca="1">IF(OR(V105="",P105&lt;=0),"",IF(V105&lt;TODAY(),"期限切れ",IF(V105-TODAY()&lt;=設定!$C$4,"期限間近","")))</f>
        <v/>
      </c>
      <c r="X105" s="19"/>
      <c r="Y105" s="19"/>
      <c r="Z105" t="str">
        <f>IF(OR(T105="要発注",T105="欠品",T105="在庫異常"),COUNTIF($T$10:T105,"要発注")+COUNTIF($T$10:T105,"欠品")+COUNTIF($T$10:T105,"在庫異常"),"")</f>
        <v/>
      </c>
    </row>
    <row r="106" spans="2:26">
      <c r="B106" s="8" t="str">
        <f>IF(C106="","",COUNTA($C$10:C106))</f>
        <v/>
      </c>
      <c r="C106" s="9"/>
      <c r="D106" s="19"/>
      <c r="E106" s="19"/>
      <c r="F106" s="10"/>
      <c r="G106" s="11"/>
      <c r="H106" s="9"/>
      <c r="I106" s="11"/>
      <c r="J106" s="19"/>
      <c r="K106" s="12"/>
      <c r="L106" s="13" t="str">
        <f>IF(C106="","",SUMIFS(入出庫履歴!$G$10:$G$1009,入出庫履歴!$E$10:$E$1009,C106,入出庫履歴!$D$10:$D$1009,"入庫"))</f>
        <v/>
      </c>
      <c r="M106" s="13" t="str">
        <f>IF(C106="","",SUMIFS(入出庫履歴!$G$10:$G$1009,入出庫履歴!$E$10:$E$1009,C106,入出庫履歴!$D$10:$D$1009,"出庫"))</f>
        <v/>
      </c>
      <c r="N106" s="13" t="str">
        <f>IF(C106="","",SUMIFS(入出庫履歴!$G$10:$G$1009,入出庫履歴!$E$10:$E$1009,C106,入出庫履歴!$D$10:$D$1009,"廃棄"))</f>
        <v/>
      </c>
      <c r="O106" s="14" t="str">
        <f>IF(C106="","",SUMIFS(入出庫履歴!$G$10:$G$1009,入出庫履歴!$E$10:$E$1009,C106,入出庫履歴!$D$10:$D$1009,"棚卸調整"))</f>
        <v/>
      </c>
      <c r="P106" s="13" t="str">
        <f t="shared" si="4"/>
        <v/>
      </c>
      <c r="Q106" s="15" t="str">
        <f t="shared" si="5"/>
        <v/>
      </c>
      <c r="R106" s="16"/>
      <c r="S106" s="16"/>
      <c r="T106" s="17" t="str">
        <f t="shared" si="6"/>
        <v/>
      </c>
      <c r="U106" s="13" t="str">
        <f t="shared" si="7"/>
        <v/>
      </c>
      <c r="V106" s="18" t="str">
        <f>IF(C106="","",IF(_xlfn.MINIFS(入出庫履歴!$K$10:$K$1009,入出庫履歴!$E$10:$E$1009,C106,入出庫履歴!$N$10:$N$1009,"&gt;0")=0,"",_xlfn.MINIFS(入出庫履歴!$K$10:$K$1009,入出庫履歴!$E$10:$E$1009,C106,入出庫履歴!$N$10:$N$1009,"&gt;0")))</f>
        <v/>
      </c>
      <c r="W106" s="17" t="str">
        <f ca="1">IF(OR(V106="",P106&lt;=0),"",IF(V106&lt;TODAY(),"期限切れ",IF(V106-TODAY()&lt;=設定!$C$4,"期限間近","")))</f>
        <v/>
      </c>
      <c r="X106" s="19"/>
      <c r="Y106" s="19"/>
      <c r="Z106" t="str">
        <f>IF(OR(T106="要発注",T106="欠品",T106="在庫異常"),COUNTIF($T$10:T106,"要発注")+COUNTIF($T$10:T106,"欠品")+COUNTIF($T$10:T106,"在庫異常"),"")</f>
        <v/>
      </c>
    </row>
    <row r="107" spans="2:26">
      <c r="B107" s="8" t="str">
        <f>IF(C107="","",COUNTA($C$10:C107))</f>
        <v/>
      </c>
      <c r="C107" s="9"/>
      <c r="D107" s="19"/>
      <c r="E107" s="19"/>
      <c r="F107" s="10"/>
      <c r="G107" s="11"/>
      <c r="H107" s="9"/>
      <c r="I107" s="11"/>
      <c r="J107" s="19"/>
      <c r="K107" s="12"/>
      <c r="L107" s="13" t="str">
        <f>IF(C107="","",SUMIFS(入出庫履歴!$G$10:$G$1009,入出庫履歴!$E$10:$E$1009,C107,入出庫履歴!$D$10:$D$1009,"入庫"))</f>
        <v/>
      </c>
      <c r="M107" s="13" t="str">
        <f>IF(C107="","",SUMIFS(入出庫履歴!$G$10:$G$1009,入出庫履歴!$E$10:$E$1009,C107,入出庫履歴!$D$10:$D$1009,"出庫"))</f>
        <v/>
      </c>
      <c r="N107" s="13" t="str">
        <f>IF(C107="","",SUMIFS(入出庫履歴!$G$10:$G$1009,入出庫履歴!$E$10:$E$1009,C107,入出庫履歴!$D$10:$D$1009,"廃棄"))</f>
        <v/>
      </c>
      <c r="O107" s="14" t="str">
        <f>IF(C107="","",SUMIFS(入出庫履歴!$G$10:$G$1009,入出庫履歴!$E$10:$E$1009,C107,入出庫履歴!$D$10:$D$1009,"棚卸調整"))</f>
        <v/>
      </c>
      <c r="P107" s="13" t="str">
        <f t="shared" si="4"/>
        <v/>
      </c>
      <c r="Q107" s="15" t="str">
        <f t="shared" si="5"/>
        <v/>
      </c>
      <c r="R107" s="16"/>
      <c r="S107" s="16"/>
      <c r="T107" s="17" t="str">
        <f t="shared" si="6"/>
        <v/>
      </c>
      <c r="U107" s="13" t="str">
        <f t="shared" si="7"/>
        <v/>
      </c>
      <c r="V107" s="18" t="str">
        <f>IF(C107="","",IF(_xlfn.MINIFS(入出庫履歴!$K$10:$K$1009,入出庫履歴!$E$10:$E$1009,C107,入出庫履歴!$N$10:$N$1009,"&gt;0")=0,"",_xlfn.MINIFS(入出庫履歴!$K$10:$K$1009,入出庫履歴!$E$10:$E$1009,C107,入出庫履歴!$N$10:$N$1009,"&gt;0")))</f>
        <v/>
      </c>
      <c r="W107" s="17" t="str">
        <f ca="1">IF(OR(V107="",P107&lt;=0),"",IF(V107&lt;TODAY(),"期限切れ",IF(V107-TODAY()&lt;=設定!$C$4,"期限間近","")))</f>
        <v/>
      </c>
      <c r="X107" s="19"/>
      <c r="Y107" s="19"/>
      <c r="Z107" t="str">
        <f>IF(OR(T107="要発注",T107="欠品",T107="在庫異常"),COUNTIF($T$10:T107,"要発注")+COUNTIF($T$10:T107,"欠品")+COUNTIF($T$10:T107,"在庫異常"),"")</f>
        <v/>
      </c>
    </row>
    <row r="108" spans="2:26">
      <c r="B108" s="8" t="str">
        <f>IF(C108="","",COUNTA($C$10:C108))</f>
        <v/>
      </c>
      <c r="C108" s="9"/>
      <c r="D108" s="19"/>
      <c r="E108" s="19"/>
      <c r="F108" s="10"/>
      <c r="G108" s="11"/>
      <c r="H108" s="9"/>
      <c r="I108" s="11"/>
      <c r="J108" s="19"/>
      <c r="K108" s="12"/>
      <c r="L108" s="13" t="str">
        <f>IF(C108="","",SUMIFS(入出庫履歴!$G$10:$G$1009,入出庫履歴!$E$10:$E$1009,C108,入出庫履歴!$D$10:$D$1009,"入庫"))</f>
        <v/>
      </c>
      <c r="M108" s="13" t="str">
        <f>IF(C108="","",SUMIFS(入出庫履歴!$G$10:$G$1009,入出庫履歴!$E$10:$E$1009,C108,入出庫履歴!$D$10:$D$1009,"出庫"))</f>
        <v/>
      </c>
      <c r="N108" s="13" t="str">
        <f>IF(C108="","",SUMIFS(入出庫履歴!$G$10:$G$1009,入出庫履歴!$E$10:$E$1009,C108,入出庫履歴!$D$10:$D$1009,"廃棄"))</f>
        <v/>
      </c>
      <c r="O108" s="14" t="str">
        <f>IF(C108="","",SUMIFS(入出庫履歴!$G$10:$G$1009,入出庫履歴!$E$10:$E$1009,C108,入出庫履歴!$D$10:$D$1009,"棚卸調整"))</f>
        <v/>
      </c>
      <c r="P108" s="13" t="str">
        <f t="shared" si="4"/>
        <v/>
      </c>
      <c r="Q108" s="15" t="str">
        <f t="shared" si="5"/>
        <v/>
      </c>
      <c r="R108" s="16"/>
      <c r="S108" s="16"/>
      <c r="T108" s="17" t="str">
        <f t="shared" si="6"/>
        <v/>
      </c>
      <c r="U108" s="13" t="str">
        <f t="shared" si="7"/>
        <v/>
      </c>
      <c r="V108" s="18" t="str">
        <f>IF(C108="","",IF(_xlfn.MINIFS(入出庫履歴!$K$10:$K$1009,入出庫履歴!$E$10:$E$1009,C108,入出庫履歴!$N$10:$N$1009,"&gt;0")=0,"",_xlfn.MINIFS(入出庫履歴!$K$10:$K$1009,入出庫履歴!$E$10:$E$1009,C108,入出庫履歴!$N$10:$N$1009,"&gt;0")))</f>
        <v/>
      </c>
      <c r="W108" s="17" t="str">
        <f ca="1">IF(OR(V108="",P108&lt;=0),"",IF(V108&lt;TODAY(),"期限切れ",IF(V108-TODAY()&lt;=設定!$C$4,"期限間近","")))</f>
        <v/>
      </c>
      <c r="X108" s="19"/>
      <c r="Y108" s="19"/>
      <c r="Z108" t="str">
        <f>IF(OR(T108="要発注",T108="欠品",T108="在庫異常"),COUNTIF($T$10:T108,"要発注")+COUNTIF($T$10:T108,"欠品")+COUNTIF($T$10:T108,"在庫異常"),"")</f>
        <v/>
      </c>
    </row>
    <row r="109" spans="2:26">
      <c r="B109" s="8" t="str">
        <f>IF(C109="","",COUNTA($C$10:C109))</f>
        <v/>
      </c>
      <c r="C109" s="9"/>
      <c r="D109" s="19"/>
      <c r="E109" s="19"/>
      <c r="F109" s="10"/>
      <c r="G109" s="11"/>
      <c r="H109" s="9"/>
      <c r="I109" s="11"/>
      <c r="J109" s="19"/>
      <c r="K109" s="12"/>
      <c r="L109" s="13" t="str">
        <f>IF(C109="","",SUMIFS(入出庫履歴!$G$10:$G$1009,入出庫履歴!$E$10:$E$1009,C109,入出庫履歴!$D$10:$D$1009,"入庫"))</f>
        <v/>
      </c>
      <c r="M109" s="13" t="str">
        <f>IF(C109="","",SUMIFS(入出庫履歴!$G$10:$G$1009,入出庫履歴!$E$10:$E$1009,C109,入出庫履歴!$D$10:$D$1009,"出庫"))</f>
        <v/>
      </c>
      <c r="N109" s="13" t="str">
        <f>IF(C109="","",SUMIFS(入出庫履歴!$G$10:$G$1009,入出庫履歴!$E$10:$E$1009,C109,入出庫履歴!$D$10:$D$1009,"廃棄"))</f>
        <v/>
      </c>
      <c r="O109" s="14" t="str">
        <f>IF(C109="","",SUMIFS(入出庫履歴!$G$10:$G$1009,入出庫履歴!$E$10:$E$1009,C109,入出庫履歴!$D$10:$D$1009,"棚卸調整"))</f>
        <v/>
      </c>
      <c r="P109" s="13" t="str">
        <f t="shared" si="4"/>
        <v/>
      </c>
      <c r="Q109" s="15" t="str">
        <f t="shared" si="5"/>
        <v/>
      </c>
      <c r="R109" s="16"/>
      <c r="S109" s="16"/>
      <c r="T109" s="17" t="str">
        <f t="shared" si="6"/>
        <v/>
      </c>
      <c r="U109" s="13" t="str">
        <f t="shared" si="7"/>
        <v/>
      </c>
      <c r="V109" s="18" t="str">
        <f>IF(C109="","",IF(_xlfn.MINIFS(入出庫履歴!$K$10:$K$1009,入出庫履歴!$E$10:$E$1009,C109,入出庫履歴!$N$10:$N$1009,"&gt;0")=0,"",_xlfn.MINIFS(入出庫履歴!$K$10:$K$1009,入出庫履歴!$E$10:$E$1009,C109,入出庫履歴!$N$10:$N$1009,"&gt;0")))</f>
        <v/>
      </c>
      <c r="W109" s="17" t="str">
        <f ca="1">IF(OR(V109="",P109&lt;=0),"",IF(V109&lt;TODAY(),"期限切れ",IF(V109-TODAY()&lt;=設定!$C$4,"期限間近","")))</f>
        <v/>
      </c>
      <c r="X109" s="19"/>
      <c r="Y109" s="19"/>
      <c r="Z109" t="str">
        <f>IF(OR(T109="要発注",T109="欠品",T109="在庫異常"),COUNTIF($T$10:T109,"要発注")+COUNTIF($T$10:T109,"欠品")+COUNTIF($T$10:T109,"在庫異常"),"")</f>
        <v/>
      </c>
    </row>
    <row r="110" spans="2:26">
      <c r="B110" s="8" t="str">
        <f>IF(C110="","",COUNTA($C$10:C110))</f>
        <v/>
      </c>
      <c r="C110" s="9"/>
      <c r="D110" s="19"/>
      <c r="E110" s="19"/>
      <c r="F110" s="10"/>
      <c r="G110" s="11"/>
      <c r="H110" s="9"/>
      <c r="I110" s="11"/>
      <c r="J110" s="19"/>
      <c r="K110" s="12"/>
      <c r="L110" s="13" t="str">
        <f>IF(C110="","",SUMIFS(入出庫履歴!$G$10:$G$1009,入出庫履歴!$E$10:$E$1009,C110,入出庫履歴!$D$10:$D$1009,"入庫"))</f>
        <v/>
      </c>
      <c r="M110" s="13" t="str">
        <f>IF(C110="","",SUMIFS(入出庫履歴!$G$10:$G$1009,入出庫履歴!$E$10:$E$1009,C110,入出庫履歴!$D$10:$D$1009,"出庫"))</f>
        <v/>
      </c>
      <c r="N110" s="13" t="str">
        <f>IF(C110="","",SUMIFS(入出庫履歴!$G$10:$G$1009,入出庫履歴!$E$10:$E$1009,C110,入出庫履歴!$D$10:$D$1009,"廃棄"))</f>
        <v/>
      </c>
      <c r="O110" s="14" t="str">
        <f>IF(C110="","",SUMIFS(入出庫履歴!$G$10:$G$1009,入出庫履歴!$E$10:$E$1009,C110,入出庫履歴!$D$10:$D$1009,"棚卸調整"))</f>
        <v/>
      </c>
      <c r="P110" s="13" t="str">
        <f t="shared" si="4"/>
        <v/>
      </c>
      <c r="Q110" s="15" t="str">
        <f t="shared" si="5"/>
        <v/>
      </c>
      <c r="R110" s="16"/>
      <c r="S110" s="16"/>
      <c r="T110" s="17" t="str">
        <f t="shared" si="6"/>
        <v/>
      </c>
      <c r="U110" s="13" t="str">
        <f t="shared" si="7"/>
        <v/>
      </c>
      <c r="V110" s="18" t="str">
        <f>IF(C110="","",IF(_xlfn.MINIFS(入出庫履歴!$K$10:$K$1009,入出庫履歴!$E$10:$E$1009,C110,入出庫履歴!$N$10:$N$1009,"&gt;0")=0,"",_xlfn.MINIFS(入出庫履歴!$K$10:$K$1009,入出庫履歴!$E$10:$E$1009,C110,入出庫履歴!$N$10:$N$1009,"&gt;0")))</f>
        <v/>
      </c>
      <c r="W110" s="17" t="str">
        <f ca="1">IF(OR(V110="",P110&lt;=0),"",IF(V110&lt;TODAY(),"期限切れ",IF(V110-TODAY()&lt;=設定!$C$4,"期限間近","")))</f>
        <v/>
      </c>
      <c r="X110" s="19"/>
      <c r="Y110" s="19"/>
      <c r="Z110" t="str">
        <f>IF(OR(T110="要発注",T110="欠品",T110="在庫異常"),COUNTIF($T$10:T110,"要発注")+COUNTIF($T$10:T110,"欠品")+COUNTIF($T$10:T110,"在庫異常"),"")</f>
        <v/>
      </c>
    </row>
    <row r="111" spans="2:26">
      <c r="B111" s="8" t="str">
        <f>IF(C111="","",COUNTA($C$10:C111))</f>
        <v/>
      </c>
      <c r="C111" s="9"/>
      <c r="D111" s="19"/>
      <c r="E111" s="19"/>
      <c r="F111" s="10"/>
      <c r="G111" s="11"/>
      <c r="H111" s="9"/>
      <c r="I111" s="11"/>
      <c r="J111" s="19"/>
      <c r="K111" s="12"/>
      <c r="L111" s="13" t="str">
        <f>IF(C111="","",SUMIFS(入出庫履歴!$G$10:$G$1009,入出庫履歴!$E$10:$E$1009,C111,入出庫履歴!$D$10:$D$1009,"入庫"))</f>
        <v/>
      </c>
      <c r="M111" s="13" t="str">
        <f>IF(C111="","",SUMIFS(入出庫履歴!$G$10:$G$1009,入出庫履歴!$E$10:$E$1009,C111,入出庫履歴!$D$10:$D$1009,"出庫"))</f>
        <v/>
      </c>
      <c r="N111" s="13" t="str">
        <f>IF(C111="","",SUMIFS(入出庫履歴!$G$10:$G$1009,入出庫履歴!$E$10:$E$1009,C111,入出庫履歴!$D$10:$D$1009,"廃棄"))</f>
        <v/>
      </c>
      <c r="O111" s="14" t="str">
        <f>IF(C111="","",SUMIFS(入出庫履歴!$G$10:$G$1009,入出庫履歴!$E$10:$E$1009,C111,入出庫履歴!$D$10:$D$1009,"棚卸調整"))</f>
        <v/>
      </c>
      <c r="P111" s="13" t="str">
        <f t="shared" si="4"/>
        <v/>
      </c>
      <c r="Q111" s="15" t="str">
        <f t="shared" si="5"/>
        <v/>
      </c>
      <c r="R111" s="16"/>
      <c r="S111" s="16"/>
      <c r="T111" s="17" t="str">
        <f t="shared" si="6"/>
        <v/>
      </c>
      <c r="U111" s="13" t="str">
        <f t="shared" si="7"/>
        <v/>
      </c>
      <c r="V111" s="18" t="str">
        <f>IF(C111="","",IF(_xlfn.MINIFS(入出庫履歴!$K$10:$K$1009,入出庫履歴!$E$10:$E$1009,C111,入出庫履歴!$N$10:$N$1009,"&gt;0")=0,"",_xlfn.MINIFS(入出庫履歴!$K$10:$K$1009,入出庫履歴!$E$10:$E$1009,C111,入出庫履歴!$N$10:$N$1009,"&gt;0")))</f>
        <v/>
      </c>
      <c r="W111" s="17" t="str">
        <f ca="1">IF(OR(V111="",P111&lt;=0),"",IF(V111&lt;TODAY(),"期限切れ",IF(V111-TODAY()&lt;=設定!$C$4,"期限間近","")))</f>
        <v/>
      </c>
      <c r="X111" s="19"/>
      <c r="Y111" s="19"/>
      <c r="Z111" t="str">
        <f>IF(OR(T111="要発注",T111="欠品",T111="在庫異常"),COUNTIF($T$10:T111,"要発注")+COUNTIF($T$10:T111,"欠品")+COUNTIF($T$10:T111,"在庫異常"),"")</f>
        <v/>
      </c>
    </row>
    <row r="112" spans="2:26">
      <c r="B112" s="8" t="str">
        <f>IF(C112="","",COUNTA($C$10:C112))</f>
        <v/>
      </c>
      <c r="C112" s="9"/>
      <c r="D112" s="19"/>
      <c r="E112" s="19"/>
      <c r="F112" s="10"/>
      <c r="G112" s="11"/>
      <c r="H112" s="9"/>
      <c r="I112" s="11"/>
      <c r="J112" s="19"/>
      <c r="K112" s="12"/>
      <c r="L112" s="13" t="str">
        <f>IF(C112="","",SUMIFS(入出庫履歴!$G$10:$G$1009,入出庫履歴!$E$10:$E$1009,C112,入出庫履歴!$D$10:$D$1009,"入庫"))</f>
        <v/>
      </c>
      <c r="M112" s="13" t="str">
        <f>IF(C112="","",SUMIFS(入出庫履歴!$G$10:$G$1009,入出庫履歴!$E$10:$E$1009,C112,入出庫履歴!$D$10:$D$1009,"出庫"))</f>
        <v/>
      </c>
      <c r="N112" s="13" t="str">
        <f>IF(C112="","",SUMIFS(入出庫履歴!$G$10:$G$1009,入出庫履歴!$E$10:$E$1009,C112,入出庫履歴!$D$10:$D$1009,"廃棄"))</f>
        <v/>
      </c>
      <c r="O112" s="14" t="str">
        <f>IF(C112="","",SUMIFS(入出庫履歴!$G$10:$G$1009,入出庫履歴!$E$10:$E$1009,C112,入出庫履歴!$D$10:$D$1009,"棚卸調整"))</f>
        <v/>
      </c>
      <c r="P112" s="13" t="str">
        <f t="shared" si="4"/>
        <v/>
      </c>
      <c r="Q112" s="15" t="str">
        <f t="shared" si="5"/>
        <v/>
      </c>
      <c r="R112" s="16"/>
      <c r="S112" s="16"/>
      <c r="T112" s="17" t="str">
        <f t="shared" si="6"/>
        <v/>
      </c>
      <c r="U112" s="13" t="str">
        <f t="shared" si="7"/>
        <v/>
      </c>
      <c r="V112" s="18" t="str">
        <f>IF(C112="","",IF(_xlfn.MINIFS(入出庫履歴!$K$10:$K$1009,入出庫履歴!$E$10:$E$1009,C112,入出庫履歴!$N$10:$N$1009,"&gt;0")=0,"",_xlfn.MINIFS(入出庫履歴!$K$10:$K$1009,入出庫履歴!$E$10:$E$1009,C112,入出庫履歴!$N$10:$N$1009,"&gt;0")))</f>
        <v/>
      </c>
      <c r="W112" s="17" t="str">
        <f ca="1">IF(OR(V112="",P112&lt;=0),"",IF(V112&lt;TODAY(),"期限切れ",IF(V112-TODAY()&lt;=設定!$C$4,"期限間近","")))</f>
        <v/>
      </c>
      <c r="X112" s="19"/>
      <c r="Y112" s="19"/>
      <c r="Z112" t="str">
        <f>IF(OR(T112="要発注",T112="欠品",T112="在庫異常"),COUNTIF($T$10:T112,"要発注")+COUNTIF($T$10:T112,"欠品")+COUNTIF($T$10:T112,"在庫異常"),"")</f>
        <v/>
      </c>
    </row>
    <row r="113" spans="2:26">
      <c r="B113" s="8" t="str">
        <f>IF(C113="","",COUNTA($C$10:C113))</f>
        <v/>
      </c>
      <c r="C113" s="9"/>
      <c r="D113" s="19"/>
      <c r="E113" s="19"/>
      <c r="F113" s="10"/>
      <c r="G113" s="11"/>
      <c r="H113" s="9"/>
      <c r="I113" s="11"/>
      <c r="J113" s="19"/>
      <c r="K113" s="12"/>
      <c r="L113" s="13" t="str">
        <f>IF(C113="","",SUMIFS(入出庫履歴!$G$10:$G$1009,入出庫履歴!$E$10:$E$1009,C113,入出庫履歴!$D$10:$D$1009,"入庫"))</f>
        <v/>
      </c>
      <c r="M113" s="13" t="str">
        <f>IF(C113="","",SUMIFS(入出庫履歴!$G$10:$G$1009,入出庫履歴!$E$10:$E$1009,C113,入出庫履歴!$D$10:$D$1009,"出庫"))</f>
        <v/>
      </c>
      <c r="N113" s="13" t="str">
        <f>IF(C113="","",SUMIFS(入出庫履歴!$G$10:$G$1009,入出庫履歴!$E$10:$E$1009,C113,入出庫履歴!$D$10:$D$1009,"廃棄"))</f>
        <v/>
      </c>
      <c r="O113" s="14" t="str">
        <f>IF(C113="","",SUMIFS(入出庫履歴!$G$10:$G$1009,入出庫履歴!$E$10:$E$1009,C113,入出庫履歴!$D$10:$D$1009,"棚卸調整"))</f>
        <v/>
      </c>
      <c r="P113" s="13" t="str">
        <f t="shared" si="4"/>
        <v/>
      </c>
      <c r="Q113" s="15" t="str">
        <f t="shared" si="5"/>
        <v/>
      </c>
      <c r="R113" s="16"/>
      <c r="S113" s="16"/>
      <c r="T113" s="17" t="str">
        <f t="shared" si="6"/>
        <v/>
      </c>
      <c r="U113" s="13" t="str">
        <f t="shared" si="7"/>
        <v/>
      </c>
      <c r="V113" s="18" t="str">
        <f>IF(C113="","",IF(_xlfn.MINIFS(入出庫履歴!$K$10:$K$1009,入出庫履歴!$E$10:$E$1009,C113,入出庫履歴!$N$10:$N$1009,"&gt;0")=0,"",_xlfn.MINIFS(入出庫履歴!$K$10:$K$1009,入出庫履歴!$E$10:$E$1009,C113,入出庫履歴!$N$10:$N$1009,"&gt;0")))</f>
        <v/>
      </c>
      <c r="W113" s="17" t="str">
        <f ca="1">IF(OR(V113="",P113&lt;=0),"",IF(V113&lt;TODAY(),"期限切れ",IF(V113-TODAY()&lt;=設定!$C$4,"期限間近","")))</f>
        <v/>
      </c>
      <c r="X113" s="19"/>
      <c r="Y113" s="19"/>
      <c r="Z113" t="str">
        <f>IF(OR(T113="要発注",T113="欠品",T113="在庫異常"),COUNTIF($T$10:T113,"要発注")+COUNTIF($T$10:T113,"欠品")+COUNTIF($T$10:T113,"在庫異常"),"")</f>
        <v/>
      </c>
    </row>
    <row r="114" spans="2:26">
      <c r="B114" s="8" t="str">
        <f>IF(C114="","",COUNTA($C$10:C114))</f>
        <v/>
      </c>
      <c r="C114" s="9"/>
      <c r="D114" s="19"/>
      <c r="E114" s="19"/>
      <c r="F114" s="10"/>
      <c r="G114" s="11"/>
      <c r="H114" s="9"/>
      <c r="I114" s="11"/>
      <c r="J114" s="19"/>
      <c r="K114" s="12"/>
      <c r="L114" s="13" t="str">
        <f>IF(C114="","",SUMIFS(入出庫履歴!$G$10:$G$1009,入出庫履歴!$E$10:$E$1009,C114,入出庫履歴!$D$10:$D$1009,"入庫"))</f>
        <v/>
      </c>
      <c r="M114" s="13" t="str">
        <f>IF(C114="","",SUMIFS(入出庫履歴!$G$10:$G$1009,入出庫履歴!$E$10:$E$1009,C114,入出庫履歴!$D$10:$D$1009,"出庫"))</f>
        <v/>
      </c>
      <c r="N114" s="13" t="str">
        <f>IF(C114="","",SUMIFS(入出庫履歴!$G$10:$G$1009,入出庫履歴!$E$10:$E$1009,C114,入出庫履歴!$D$10:$D$1009,"廃棄"))</f>
        <v/>
      </c>
      <c r="O114" s="14" t="str">
        <f>IF(C114="","",SUMIFS(入出庫履歴!$G$10:$G$1009,入出庫履歴!$E$10:$E$1009,C114,入出庫履歴!$D$10:$D$1009,"棚卸調整"))</f>
        <v/>
      </c>
      <c r="P114" s="13" t="str">
        <f t="shared" si="4"/>
        <v/>
      </c>
      <c r="Q114" s="15" t="str">
        <f t="shared" si="5"/>
        <v/>
      </c>
      <c r="R114" s="16"/>
      <c r="S114" s="16"/>
      <c r="T114" s="17" t="str">
        <f t="shared" si="6"/>
        <v/>
      </c>
      <c r="U114" s="13" t="str">
        <f t="shared" si="7"/>
        <v/>
      </c>
      <c r="V114" s="18" t="str">
        <f>IF(C114="","",IF(_xlfn.MINIFS(入出庫履歴!$K$10:$K$1009,入出庫履歴!$E$10:$E$1009,C114,入出庫履歴!$N$10:$N$1009,"&gt;0")=0,"",_xlfn.MINIFS(入出庫履歴!$K$10:$K$1009,入出庫履歴!$E$10:$E$1009,C114,入出庫履歴!$N$10:$N$1009,"&gt;0")))</f>
        <v/>
      </c>
      <c r="W114" s="17" t="str">
        <f ca="1">IF(OR(V114="",P114&lt;=0),"",IF(V114&lt;TODAY(),"期限切れ",IF(V114-TODAY()&lt;=設定!$C$4,"期限間近","")))</f>
        <v/>
      </c>
      <c r="X114" s="19"/>
      <c r="Y114" s="19"/>
      <c r="Z114" t="str">
        <f>IF(OR(T114="要発注",T114="欠品",T114="在庫異常"),COUNTIF($T$10:T114,"要発注")+COUNTIF($T$10:T114,"欠品")+COUNTIF($T$10:T114,"在庫異常"),"")</f>
        <v/>
      </c>
    </row>
    <row r="115" spans="2:26">
      <c r="B115" s="8" t="str">
        <f>IF(C115="","",COUNTA($C$10:C115))</f>
        <v/>
      </c>
      <c r="C115" s="9"/>
      <c r="D115" s="19"/>
      <c r="E115" s="19"/>
      <c r="F115" s="10"/>
      <c r="G115" s="11"/>
      <c r="H115" s="9"/>
      <c r="I115" s="11"/>
      <c r="J115" s="19"/>
      <c r="K115" s="12"/>
      <c r="L115" s="13" t="str">
        <f>IF(C115="","",SUMIFS(入出庫履歴!$G$10:$G$1009,入出庫履歴!$E$10:$E$1009,C115,入出庫履歴!$D$10:$D$1009,"入庫"))</f>
        <v/>
      </c>
      <c r="M115" s="13" t="str">
        <f>IF(C115="","",SUMIFS(入出庫履歴!$G$10:$G$1009,入出庫履歴!$E$10:$E$1009,C115,入出庫履歴!$D$10:$D$1009,"出庫"))</f>
        <v/>
      </c>
      <c r="N115" s="13" t="str">
        <f>IF(C115="","",SUMIFS(入出庫履歴!$G$10:$G$1009,入出庫履歴!$E$10:$E$1009,C115,入出庫履歴!$D$10:$D$1009,"廃棄"))</f>
        <v/>
      </c>
      <c r="O115" s="14" t="str">
        <f>IF(C115="","",SUMIFS(入出庫履歴!$G$10:$G$1009,入出庫履歴!$E$10:$E$1009,C115,入出庫履歴!$D$10:$D$1009,"棚卸調整"))</f>
        <v/>
      </c>
      <c r="P115" s="13" t="str">
        <f t="shared" si="4"/>
        <v/>
      </c>
      <c r="Q115" s="15" t="str">
        <f t="shared" si="5"/>
        <v/>
      </c>
      <c r="R115" s="16"/>
      <c r="S115" s="16"/>
      <c r="T115" s="17" t="str">
        <f t="shared" si="6"/>
        <v/>
      </c>
      <c r="U115" s="13" t="str">
        <f t="shared" si="7"/>
        <v/>
      </c>
      <c r="V115" s="18" t="str">
        <f>IF(C115="","",IF(_xlfn.MINIFS(入出庫履歴!$K$10:$K$1009,入出庫履歴!$E$10:$E$1009,C115,入出庫履歴!$N$10:$N$1009,"&gt;0")=0,"",_xlfn.MINIFS(入出庫履歴!$K$10:$K$1009,入出庫履歴!$E$10:$E$1009,C115,入出庫履歴!$N$10:$N$1009,"&gt;0")))</f>
        <v/>
      </c>
      <c r="W115" s="17" t="str">
        <f ca="1">IF(OR(V115="",P115&lt;=0),"",IF(V115&lt;TODAY(),"期限切れ",IF(V115-TODAY()&lt;=設定!$C$4,"期限間近","")))</f>
        <v/>
      </c>
      <c r="X115" s="19"/>
      <c r="Y115" s="19"/>
      <c r="Z115" t="str">
        <f>IF(OR(T115="要発注",T115="欠品",T115="在庫異常"),COUNTIF($T$10:T115,"要発注")+COUNTIF($T$10:T115,"欠品")+COUNTIF($T$10:T115,"在庫異常"),"")</f>
        <v/>
      </c>
    </row>
    <row r="116" spans="2:26">
      <c r="B116" s="8" t="str">
        <f>IF(C116="","",COUNTA($C$10:C116))</f>
        <v/>
      </c>
      <c r="C116" s="9"/>
      <c r="D116" s="19"/>
      <c r="E116" s="19"/>
      <c r="F116" s="10"/>
      <c r="G116" s="11"/>
      <c r="H116" s="9"/>
      <c r="I116" s="11"/>
      <c r="J116" s="19"/>
      <c r="K116" s="12"/>
      <c r="L116" s="13" t="str">
        <f>IF(C116="","",SUMIFS(入出庫履歴!$G$10:$G$1009,入出庫履歴!$E$10:$E$1009,C116,入出庫履歴!$D$10:$D$1009,"入庫"))</f>
        <v/>
      </c>
      <c r="M116" s="13" t="str">
        <f>IF(C116="","",SUMIFS(入出庫履歴!$G$10:$G$1009,入出庫履歴!$E$10:$E$1009,C116,入出庫履歴!$D$10:$D$1009,"出庫"))</f>
        <v/>
      </c>
      <c r="N116" s="13" t="str">
        <f>IF(C116="","",SUMIFS(入出庫履歴!$G$10:$G$1009,入出庫履歴!$E$10:$E$1009,C116,入出庫履歴!$D$10:$D$1009,"廃棄"))</f>
        <v/>
      </c>
      <c r="O116" s="14" t="str">
        <f>IF(C116="","",SUMIFS(入出庫履歴!$G$10:$G$1009,入出庫履歴!$E$10:$E$1009,C116,入出庫履歴!$D$10:$D$1009,"棚卸調整"))</f>
        <v/>
      </c>
      <c r="P116" s="13" t="str">
        <f t="shared" si="4"/>
        <v/>
      </c>
      <c r="Q116" s="15" t="str">
        <f t="shared" si="5"/>
        <v/>
      </c>
      <c r="R116" s="16"/>
      <c r="S116" s="16"/>
      <c r="T116" s="17" t="str">
        <f t="shared" si="6"/>
        <v/>
      </c>
      <c r="U116" s="13" t="str">
        <f t="shared" si="7"/>
        <v/>
      </c>
      <c r="V116" s="18" t="str">
        <f>IF(C116="","",IF(_xlfn.MINIFS(入出庫履歴!$K$10:$K$1009,入出庫履歴!$E$10:$E$1009,C116,入出庫履歴!$N$10:$N$1009,"&gt;0")=0,"",_xlfn.MINIFS(入出庫履歴!$K$10:$K$1009,入出庫履歴!$E$10:$E$1009,C116,入出庫履歴!$N$10:$N$1009,"&gt;0")))</f>
        <v/>
      </c>
      <c r="W116" s="17" t="str">
        <f ca="1">IF(OR(V116="",P116&lt;=0),"",IF(V116&lt;TODAY(),"期限切れ",IF(V116-TODAY()&lt;=設定!$C$4,"期限間近","")))</f>
        <v/>
      </c>
      <c r="X116" s="19"/>
      <c r="Y116" s="19"/>
      <c r="Z116" t="str">
        <f>IF(OR(T116="要発注",T116="欠品",T116="在庫異常"),COUNTIF($T$10:T116,"要発注")+COUNTIF($T$10:T116,"欠品")+COUNTIF($T$10:T116,"在庫異常"),"")</f>
        <v/>
      </c>
    </row>
    <row r="117" spans="2:26">
      <c r="B117" s="8" t="str">
        <f>IF(C117="","",COUNTA($C$10:C117))</f>
        <v/>
      </c>
      <c r="C117" s="9"/>
      <c r="D117" s="19"/>
      <c r="E117" s="19"/>
      <c r="F117" s="10"/>
      <c r="G117" s="11"/>
      <c r="H117" s="9"/>
      <c r="I117" s="11"/>
      <c r="J117" s="19"/>
      <c r="K117" s="12"/>
      <c r="L117" s="13" t="str">
        <f>IF(C117="","",SUMIFS(入出庫履歴!$G$10:$G$1009,入出庫履歴!$E$10:$E$1009,C117,入出庫履歴!$D$10:$D$1009,"入庫"))</f>
        <v/>
      </c>
      <c r="M117" s="13" t="str">
        <f>IF(C117="","",SUMIFS(入出庫履歴!$G$10:$G$1009,入出庫履歴!$E$10:$E$1009,C117,入出庫履歴!$D$10:$D$1009,"出庫"))</f>
        <v/>
      </c>
      <c r="N117" s="13" t="str">
        <f>IF(C117="","",SUMIFS(入出庫履歴!$G$10:$G$1009,入出庫履歴!$E$10:$E$1009,C117,入出庫履歴!$D$10:$D$1009,"廃棄"))</f>
        <v/>
      </c>
      <c r="O117" s="14" t="str">
        <f>IF(C117="","",SUMIFS(入出庫履歴!$G$10:$G$1009,入出庫履歴!$E$10:$E$1009,C117,入出庫履歴!$D$10:$D$1009,"棚卸調整"))</f>
        <v/>
      </c>
      <c r="P117" s="13" t="str">
        <f t="shared" si="4"/>
        <v/>
      </c>
      <c r="Q117" s="15" t="str">
        <f t="shared" si="5"/>
        <v/>
      </c>
      <c r="R117" s="16"/>
      <c r="S117" s="16"/>
      <c r="T117" s="17" t="str">
        <f t="shared" si="6"/>
        <v/>
      </c>
      <c r="U117" s="13" t="str">
        <f t="shared" si="7"/>
        <v/>
      </c>
      <c r="V117" s="18" t="str">
        <f>IF(C117="","",IF(_xlfn.MINIFS(入出庫履歴!$K$10:$K$1009,入出庫履歴!$E$10:$E$1009,C117,入出庫履歴!$N$10:$N$1009,"&gt;0")=0,"",_xlfn.MINIFS(入出庫履歴!$K$10:$K$1009,入出庫履歴!$E$10:$E$1009,C117,入出庫履歴!$N$10:$N$1009,"&gt;0")))</f>
        <v/>
      </c>
      <c r="W117" s="17" t="str">
        <f ca="1">IF(OR(V117="",P117&lt;=0),"",IF(V117&lt;TODAY(),"期限切れ",IF(V117-TODAY()&lt;=設定!$C$4,"期限間近","")))</f>
        <v/>
      </c>
      <c r="X117" s="19"/>
      <c r="Y117" s="19"/>
      <c r="Z117" t="str">
        <f>IF(OR(T117="要発注",T117="欠品",T117="在庫異常"),COUNTIF($T$10:T117,"要発注")+COUNTIF($T$10:T117,"欠品")+COUNTIF($T$10:T117,"在庫異常"),"")</f>
        <v/>
      </c>
    </row>
    <row r="118" spans="2:26">
      <c r="B118" s="8" t="str">
        <f>IF(C118="","",COUNTA($C$10:C118))</f>
        <v/>
      </c>
      <c r="C118" s="9"/>
      <c r="D118" s="19"/>
      <c r="E118" s="19"/>
      <c r="F118" s="10"/>
      <c r="G118" s="11"/>
      <c r="H118" s="9"/>
      <c r="I118" s="11"/>
      <c r="J118" s="19"/>
      <c r="K118" s="12"/>
      <c r="L118" s="13" t="str">
        <f>IF(C118="","",SUMIFS(入出庫履歴!$G$10:$G$1009,入出庫履歴!$E$10:$E$1009,C118,入出庫履歴!$D$10:$D$1009,"入庫"))</f>
        <v/>
      </c>
      <c r="M118" s="13" t="str">
        <f>IF(C118="","",SUMIFS(入出庫履歴!$G$10:$G$1009,入出庫履歴!$E$10:$E$1009,C118,入出庫履歴!$D$10:$D$1009,"出庫"))</f>
        <v/>
      </c>
      <c r="N118" s="13" t="str">
        <f>IF(C118="","",SUMIFS(入出庫履歴!$G$10:$G$1009,入出庫履歴!$E$10:$E$1009,C118,入出庫履歴!$D$10:$D$1009,"廃棄"))</f>
        <v/>
      </c>
      <c r="O118" s="14" t="str">
        <f>IF(C118="","",SUMIFS(入出庫履歴!$G$10:$G$1009,入出庫履歴!$E$10:$E$1009,C118,入出庫履歴!$D$10:$D$1009,"棚卸調整"))</f>
        <v/>
      </c>
      <c r="P118" s="13" t="str">
        <f t="shared" si="4"/>
        <v/>
      </c>
      <c r="Q118" s="15" t="str">
        <f t="shared" si="5"/>
        <v/>
      </c>
      <c r="R118" s="16"/>
      <c r="S118" s="16"/>
      <c r="T118" s="17" t="str">
        <f t="shared" si="6"/>
        <v/>
      </c>
      <c r="U118" s="13" t="str">
        <f t="shared" si="7"/>
        <v/>
      </c>
      <c r="V118" s="18" t="str">
        <f>IF(C118="","",IF(_xlfn.MINIFS(入出庫履歴!$K$10:$K$1009,入出庫履歴!$E$10:$E$1009,C118,入出庫履歴!$N$10:$N$1009,"&gt;0")=0,"",_xlfn.MINIFS(入出庫履歴!$K$10:$K$1009,入出庫履歴!$E$10:$E$1009,C118,入出庫履歴!$N$10:$N$1009,"&gt;0")))</f>
        <v/>
      </c>
      <c r="W118" s="17" t="str">
        <f ca="1">IF(OR(V118="",P118&lt;=0),"",IF(V118&lt;TODAY(),"期限切れ",IF(V118-TODAY()&lt;=設定!$C$4,"期限間近","")))</f>
        <v/>
      </c>
      <c r="X118" s="19"/>
      <c r="Y118" s="19"/>
      <c r="Z118" t="str">
        <f>IF(OR(T118="要発注",T118="欠品",T118="在庫異常"),COUNTIF($T$10:T118,"要発注")+COUNTIF($T$10:T118,"欠品")+COUNTIF($T$10:T118,"在庫異常"),"")</f>
        <v/>
      </c>
    </row>
    <row r="119" spans="2:26">
      <c r="B119" s="8" t="str">
        <f>IF(C119="","",COUNTA($C$10:C119))</f>
        <v/>
      </c>
      <c r="C119" s="9"/>
      <c r="D119" s="19"/>
      <c r="E119" s="19"/>
      <c r="F119" s="10"/>
      <c r="G119" s="11"/>
      <c r="H119" s="9"/>
      <c r="I119" s="11"/>
      <c r="J119" s="19"/>
      <c r="K119" s="12"/>
      <c r="L119" s="13" t="str">
        <f>IF(C119="","",SUMIFS(入出庫履歴!$G$10:$G$1009,入出庫履歴!$E$10:$E$1009,C119,入出庫履歴!$D$10:$D$1009,"入庫"))</f>
        <v/>
      </c>
      <c r="M119" s="13" t="str">
        <f>IF(C119="","",SUMIFS(入出庫履歴!$G$10:$G$1009,入出庫履歴!$E$10:$E$1009,C119,入出庫履歴!$D$10:$D$1009,"出庫"))</f>
        <v/>
      </c>
      <c r="N119" s="13" t="str">
        <f>IF(C119="","",SUMIFS(入出庫履歴!$G$10:$G$1009,入出庫履歴!$E$10:$E$1009,C119,入出庫履歴!$D$10:$D$1009,"廃棄"))</f>
        <v/>
      </c>
      <c r="O119" s="14" t="str">
        <f>IF(C119="","",SUMIFS(入出庫履歴!$G$10:$G$1009,入出庫履歴!$E$10:$E$1009,C119,入出庫履歴!$D$10:$D$1009,"棚卸調整"))</f>
        <v/>
      </c>
      <c r="P119" s="13" t="str">
        <f t="shared" si="4"/>
        <v/>
      </c>
      <c r="Q119" s="15" t="str">
        <f t="shared" si="5"/>
        <v/>
      </c>
      <c r="R119" s="16"/>
      <c r="S119" s="16"/>
      <c r="T119" s="17" t="str">
        <f t="shared" si="6"/>
        <v/>
      </c>
      <c r="U119" s="13" t="str">
        <f t="shared" si="7"/>
        <v/>
      </c>
      <c r="V119" s="18" t="str">
        <f>IF(C119="","",IF(_xlfn.MINIFS(入出庫履歴!$K$10:$K$1009,入出庫履歴!$E$10:$E$1009,C119,入出庫履歴!$N$10:$N$1009,"&gt;0")=0,"",_xlfn.MINIFS(入出庫履歴!$K$10:$K$1009,入出庫履歴!$E$10:$E$1009,C119,入出庫履歴!$N$10:$N$1009,"&gt;0")))</f>
        <v/>
      </c>
      <c r="W119" s="17" t="str">
        <f ca="1">IF(OR(V119="",P119&lt;=0),"",IF(V119&lt;TODAY(),"期限切れ",IF(V119-TODAY()&lt;=設定!$C$4,"期限間近","")))</f>
        <v/>
      </c>
      <c r="X119" s="19"/>
      <c r="Y119" s="19"/>
      <c r="Z119" t="str">
        <f>IF(OR(T119="要発注",T119="欠品",T119="在庫異常"),COUNTIF($T$10:T119,"要発注")+COUNTIF($T$10:T119,"欠品")+COUNTIF($T$10:T119,"在庫異常"),"")</f>
        <v/>
      </c>
    </row>
    <row r="120" spans="2:26">
      <c r="B120" s="8" t="str">
        <f>IF(C120="","",COUNTA($C$10:C120))</f>
        <v/>
      </c>
      <c r="C120" s="9"/>
      <c r="D120" s="19"/>
      <c r="E120" s="19"/>
      <c r="F120" s="10"/>
      <c r="G120" s="11"/>
      <c r="H120" s="9"/>
      <c r="I120" s="11"/>
      <c r="J120" s="19"/>
      <c r="K120" s="12"/>
      <c r="L120" s="13" t="str">
        <f>IF(C120="","",SUMIFS(入出庫履歴!$G$10:$G$1009,入出庫履歴!$E$10:$E$1009,C120,入出庫履歴!$D$10:$D$1009,"入庫"))</f>
        <v/>
      </c>
      <c r="M120" s="13" t="str">
        <f>IF(C120="","",SUMIFS(入出庫履歴!$G$10:$G$1009,入出庫履歴!$E$10:$E$1009,C120,入出庫履歴!$D$10:$D$1009,"出庫"))</f>
        <v/>
      </c>
      <c r="N120" s="13" t="str">
        <f>IF(C120="","",SUMIFS(入出庫履歴!$G$10:$G$1009,入出庫履歴!$E$10:$E$1009,C120,入出庫履歴!$D$10:$D$1009,"廃棄"))</f>
        <v/>
      </c>
      <c r="O120" s="14" t="str">
        <f>IF(C120="","",SUMIFS(入出庫履歴!$G$10:$G$1009,入出庫履歴!$E$10:$E$1009,C120,入出庫履歴!$D$10:$D$1009,"棚卸調整"))</f>
        <v/>
      </c>
      <c r="P120" s="13" t="str">
        <f t="shared" si="4"/>
        <v/>
      </c>
      <c r="Q120" s="15" t="str">
        <f t="shared" si="5"/>
        <v/>
      </c>
      <c r="R120" s="16"/>
      <c r="S120" s="16"/>
      <c r="T120" s="17" t="str">
        <f t="shared" si="6"/>
        <v/>
      </c>
      <c r="U120" s="13" t="str">
        <f t="shared" si="7"/>
        <v/>
      </c>
      <c r="V120" s="18" t="str">
        <f>IF(C120="","",IF(_xlfn.MINIFS(入出庫履歴!$K$10:$K$1009,入出庫履歴!$E$10:$E$1009,C120,入出庫履歴!$N$10:$N$1009,"&gt;0")=0,"",_xlfn.MINIFS(入出庫履歴!$K$10:$K$1009,入出庫履歴!$E$10:$E$1009,C120,入出庫履歴!$N$10:$N$1009,"&gt;0")))</f>
        <v/>
      </c>
      <c r="W120" s="17" t="str">
        <f ca="1">IF(OR(V120="",P120&lt;=0),"",IF(V120&lt;TODAY(),"期限切れ",IF(V120-TODAY()&lt;=設定!$C$4,"期限間近","")))</f>
        <v/>
      </c>
      <c r="X120" s="19"/>
      <c r="Y120" s="19"/>
      <c r="Z120" t="str">
        <f>IF(OR(T120="要発注",T120="欠品",T120="在庫異常"),COUNTIF($T$10:T120,"要発注")+COUNTIF($T$10:T120,"欠品")+COUNTIF($T$10:T120,"在庫異常"),"")</f>
        <v/>
      </c>
    </row>
    <row r="121" spans="2:26">
      <c r="B121" s="8" t="str">
        <f>IF(C121="","",COUNTA($C$10:C121))</f>
        <v/>
      </c>
      <c r="C121" s="9"/>
      <c r="D121" s="19"/>
      <c r="E121" s="19"/>
      <c r="F121" s="10"/>
      <c r="G121" s="11"/>
      <c r="H121" s="9"/>
      <c r="I121" s="11"/>
      <c r="J121" s="19"/>
      <c r="K121" s="12"/>
      <c r="L121" s="13" t="str">
        <f>IF(C121="","",SUMIFS(入出庫履歴!$G$10:$G$1009,入出庫履歴!$E$10:$E$1009,C121,入出庫履歴!$D$10:$D$1009,"入庫"))</f>
        <v/>
      </c>
      <c r="M121" s="13" t="str">
        <f>IF(C121="","",SUMIFS(入出庫履歴!$G$10:$G$1009,入出庫履歴!$E$10:$E$1009,C121,入出庫履歴!$D$10:$D$1009,"出庫"))</f>
        <v/>
      </c>
      <c r="N121" s="13" t="str">
        <f>IF(C121="","",SUMIFS(入出庫履歴!$G$10:$G$1009,入出庫履歴!$E$10:$E$1009,C121,入出庫履歴!$D$10:$D$1009,"廃棄"))</f>
        <v/>
      </c>
      <c r="O121" s="14" t="str">
        <f>IF(C121="","",SUMIFS(入出庫履歴!$G$10:$G$1009,入出庫履歴!$E$10:$E$1009,C121,入出庫履歴!$D$10:$D$1009,"棚卸調整"))</f>
        <v/>
      </c>
      <c r="P121" s="13" t="str">
        <f t="shared" si="4"/>
        <v/>
      </c>
      <c r="Q121" s="15" t="str">
        <f t="shared" si="5"/>
        <v/>
      </c>
      <c r="R121" s="16"/>
      <c r="S121" s="16"/>
      <c r="T121" s="17" t="str">
        <f t="shared" si="6"/>
        <v/>
      </c>
      <c r="U121" s="13" t="str">
        <f t="shared" si="7"/>
        <v/>
      </c>
      <c r="V121" s="18" t="str">
        <f>IF(C121="","",IF(_xlfn.MINIFS(入出庫履歴!$K$10:$K$1009,入出庫履歴!$E$10:$E$1009,C121,入出庫履歴!$N$10:$N$1009,"&gt;0")=0,"",_xlfn.MINIFS(入出庫履歴!$K$10:$K$1009,入出庫履歴!$E$10:$E$1009,C121,入出庫履歴!$N$10:$N$1009,"&gt;0")))</f>
        <v/>
      </c>
      <c r="W121" s="17" t="str">
        <f ca="1">IF(OR(V121="",P121&lt;=0),"",IF(V121&lt;TODAY(),"期限切れ",IF(V121-TODAY()&lt;=設定!$C$4,"期限間近","")))</f>
        <v/>
      </c>
      <c r="X121" s="19"/>
      <c r="Y121" s="19"/>
      <c r="Z121" t="str">
        <f>IF(OR(T121="要発注",T121="欠品",T121="在庫異常"),COUNTIF($T$10:T121,"要発注")+COUNTIF($T$10:T121,"欠品")+COUNTIF($T$10:T121,"在庫異常"),"")</f>
        <v/>
      </c>
    </row>
    <row r="122" spans="2:26">
      <c r="B122" s="8" t="str">
        <f>IF(C122="","",COUNTA($C$10:C122))</f>
        <v/>
      </c>
      <c r="C122" s="9"/>
      <c r="D122" s="19"/>
      <c r="E122" s="19"/>
      <c r="F122" s="10"/>
      <c r="G122" s="11"/>
      <c r="H122" s="9"/>
      <c r="I122" s="11"/>
      <c r="J122" s="19"/>
      <c r="K122" s="12"/>
      <c r="L122" s="13" t="str">
        <f>IF(C122="","",SUMIFS(入出庫履歴!$G$10:$G$1009,入出庫履歴!$E$10:$E$1009,C122,入出庫履歴!$D$10:$D$1009,"入庫"))</f>
        <v/>
      </c>
      <c r="M122" s="13" t="str">
        <f>IF(C122="","",SUMIFS(入出庫履歴!$G$10:$G$1009,入出庫履歴!$E$10:$E$1009,C122,入出庫履歴!$D$10:$D$1009,"出庫"))</f>
        <v/>
      </c>
      <c r="N122" s="13" t="str">
        <f>IF(C122="","",SUMIFS(入出庫履歴!$G$10:$G$1009,入出庫履歴!$E$10:$E$1009,C122,入出庫履歴!$D$10:$D$1009,"廃棄"))</f>
        <v/>
      </c>
      <c r="O122" s="14" t="str">
        <f>IF(C122="","",SUMIFS(入出庫履歴!$G$10:$G$1009,入出庫履歴!$E$10:$E$1009,C122,入出庫履歴!$D$10:$D$1009,"棚卸調整"))</f>
        <v/>
      </c>
      <c r="P122" s="13" t="str">
        <f t="shared" si="4"/>
        <v/>
      </c>
      <c r="Q122" s="15" t="str">
        <f t="shared" si="5"/>
        <v/>
      </c>
      <c r="R122" s="16"/>
      <c r="S122" s="16"/>
      <c r="T122" s="17" t="str">
        <f t="shared" si="6"/>
        <v/>
      </c>
      <c r="U122" s="13" t="str">
        <f t="shared" si="7"/>
        <v/>
      </c>
      <c r="V122" s="18" t="str">
        <f>IF(C122="","",IF(_xlfn.MINIFS(入出庫履歴!$K$10:$K$1009,入出庫履歴!$E$10:$E$1009,C122,入出庫履歴!$N$10:$N$1009,"&gt;0")=0,"",_xlfn.MINIFS(入出庫履歴!$K$10:$K$1009,入出庫履歴!$E$10:$E$1009,C122,入出庫履歴!$N$10:$N$1009,"&gt;0")))</f>
        <v/>
      </c>
      <c r="W122" s="17" t="str">
        <f ca="1">IF(OR(V122="",P122&lt;=0),"",IF(V122&lt;TODAY(),"期限切れ",IF(V122-TODAY()&lt;=設定!$C$4,"期限間近","")))</f>
        <v/>
      </c>
      <c r="X122" s="19"/>
      <c r="Y122" s="19"/>
      <c r="Z122" t="str">
        <f>IF(OR(T122="要発注",T122="欠品",T122="在庫異常"),COUNTIF($T$10:T122,"要発注")+COUNTIF($T$10:T122,"欠品")+COUNTIF($T$10:T122,"在庫異常"),"")</f>
        <v/>
      </c>
    </row>
    <row r="123" spans="2:26">
      <c r="B123" s="8" t="str">
        <f>IF(C123="","",COUNTA($C$10:C123))</f>
        <v/>
      </c>
      <c r="C123" s="9"/>
      <c r="D123" s="19"/>
      <c r="E123" s="19"/>
      <c r="F123" s="10"/>
      <c r="G123" s="11"/>
      <c r="H123" s="9"/>
      <c r="I123" s="11"/>
      <c r="J123" s="19"/>
      <c r="K123" s="12"/>
      <c r="L123" s="13" t="str">
        <f>IF(C123="","",SUMIFS(入出庫履歴!$G$10:$G$1009,入出庫履歴!$E$10:$E$1009,C123,入出庫履歴!$D$10:$D$1009,"入庫"))</f>
        <v/>
      </c>
      <c r="M123" s="13" t="str">
        <f>IF(C123="","",SUMIFS(入出庫履歴!$G$10:$G$1009,入出庫履歴!$E$10:$E$1009,C123,入出庫履歴!$D$10:$D$1009,"出庫"))</f>
        <v/>
      </c>
      <c r="N123" s="13" t="str">
        <f>IF(C123="","",SUMIFS(入出庫履歴!$G$10:$G$1009,入出庫履歴!$E$10:$E$1009,C123,入出庫履歴!$D$10:$D$1009,"廃棄"))</f>
        <v/>
      </c>
      <c r="O123" s="14" t="str">
        <f>IF(C123="","",SUMIFS(入出庫履歴!$G$10:$G$1009,入出庫履歴!$E$10:$E$1009,C123,入出庫履歴!$D$10:$D$1009,"棚卸調整"))</f>
        <v/>
      </c>
      <c r="P123" s="13" t="str">
        <f t="shared" si="4"/>
        <v/>
      </c>
      <c r="Q123" s="15" t="str">
        <f t="shared" si="5"/>
        <v/>
      </c>
      <c r="R123" s="16"/>
      <c r="S123" s="16"/>
      <c r="T123" s="17" t="str">
        <f t="shared" si="6"/>
        <v/>
      </c>
      <c r="U123" s="13" t="str">
        <f t="shared" si="7"/>
        <v/>
      </c>
      <c r="V123" s="18" t="str">
        <f>IF(C123="","",IF(_xlfn.MINIFS(入出庫履歴!$K$10:$K$1009,入出庫履歴!$E$10:$E$1009,C123,入出庫履歴!$N$10:$N$1009,"&gt;0")=0,"",_xlfn.MINIFS(入出庫履歴!$K$10:$K$1009,入出庫履歴!$E$10:$E$1009,C123,入出庫履歴!$N$10:$N$1009,"&gt;0")))</f>
        <v/>
      </c>
      <c r="W123" s="17" t="str">
        <f ca="1">IF(OR(V123="",P123&lt;=0),"",IF(V123&lt;TODAY(),"期限切れ",IF(V123-TODAY()&lt;=設定!$C$4,"期限間近","")))</f>
        <v/>
      </c>
      <c r="X123" s="19"/>
      <c r="Y123" s="19"/>
      <c r="Z123" t="str">
        <f>IF(OR(T123="要発注",T123="欠品",T123="在庫異常"),COUNTIF($T$10:T123,"要発注")+COUNTIF($T$10:T123,"欠品")+COUNTIF($T$10:T123,"在庫異常"),"")</f>
        <v/>
      </c>
    </row>
    <row r="124" spans="2:26">
      <c r="B124" s="8" t="str">
        <f>IF(C124="","",COUNTA($C$10:C124))</f>
        <v/>
      </c>
      <c r="C124" s="9"/>
      <c r="D124" s="19"/>
      <c r="E124" s="19"/>
      <c r="F124" s="10"/>
      <c r="G124" s="11"/>
      <c r="H124" s="9"/>
      <c r="I124" s="11"/>
      <c r="J124" s="19"/>
      <c r="K124" s="12"/>
      <c r="L124" s="13" t="str">
        <f>IF(C124="","",SUMIFS(入出庫履歴!$G$10:$G$1009,入出庫履歴!$E$10:$E$1009,C124,入出庫履歴!$D$10:$D$1009,"入庫"))</f>
        <v/>
      </c>
      <c r="M124" s="13" t="str">
        <f>IF(C124="","",SUMIFS(入出庫履歴!$G$10:$G$1009,入出庫履歴!$E$10:$E$1009,C124,入出庫履歴!$D$10:$D$1009,"出庫"))</f>
        <v/>
      </c>
      <c r="N124" s="13" t="str">
        <f>IF(C124="","",SUMIFS(入出庫履歴!$G$10:$G$1009,入出庫履歴!$E$10:$E$1009,C124,入出庫履歴!$D$10:$D$1009,"廃棄"))</f>
        <v/>
      </c>
      <c r="O124" s="14" t="str">
        <f>IF(C124="","",SUMIFS(入出庫履歴!$G$10:$G$1009,入出庫履歴!$E$10:$E$1009,C124,入出庫履歴!$D$10:$D$1009,"棚卸調整"))</f>
        <v/>
      </c>
      <c r="P124" s="13" t="str">
        <f t="shared" si="4"/>
        <v/>
      </c>
      <c r="Q124" s="15" t="str">
        <f t="shared" si="5"/>
        <v/>
      </c>
      <c r="R124" s="16"/>
      <c r="S124" s="16"/>
      <c r="T124" s="17" t="str">
        <f t="shared" si="6"/>
        <v/>
      </c>
      <c r="U124" s="13" t="str">
        <f t="shared" si="7"/>
        <v/>
      </c>
      <c r="V124" s="18" t="str">
        <f>IF(C124="","",IF(_xlfn.MINIFS(入出庫履歴!$K$10:$K$1009,入出庫履歴!$E$10:$E$1009,C124,入出庫履歴!$N$10:$N$1009,"&gt;0")=0,"",_xlfn.MINIFS(入出庫履歴!$K$10:$K$1009,入出庫履歴!$E$10:$E$1009,C124,入出庫履歴!$N$10:$N$1009,"&gt;0")))</f>
        <v/>
      </c>
      <c r="W124" s="17" t="str">
        <f ca="1">IF(OR(V124="",P124&lt;=0),"",IF(V124&lt;TODAY(),"期限切れ",IF(V124-TODAY()&lt;=設定!$C$4,"期限間近","")))</f>
        <v/>
      </c>
      <c r="X124" s="19"/>
      <c r="Y124" s="19"/>
      <c r="Z124" t="str">
        <f>IF(OR(T124="要発注",T124="欠品",T124="在庫異常"),COUNTIF($T$10:T124,"要発注")+COUNTIF($T$10:T124,"欠品")+COUNTIF($T$10:T124,"在庫異常"),"")</f>
        <v/>
      </c>
    </row>
    <row r="125" spans="2:26">
      <c r="B125" s="8" t="str">
        <f>IF(C125="","",COUNTA($C$10:C125))</f>
        <v/>
      </c>
      <c r="C125" s="9"/>
      <c r="D125" s="19"/>
      <c r="E125" s="19"/>
      <c r="F125" s="10"/>
      <c r="G125" s="11"/>
      <c r="H125" s="9"/>
      <c r="I125" s="11"/>
      <c r="J125" s="19"/>
      <c r="K125" s="12"/>
      <c r="L125" s="13" t="str">
        <f>IF(C125="","",SUMIFS(入出庫履歴!$G$10:$G$1009,入出庫履歴!$E$10:$E$1009,C125,入出庫履歴!$D$10:$D$1009,"入庫"))</f>
        <v/>
      </c>
      <c r="M125" s="13" t="str">
        <f>IF(C125="","",SUMIFS(入出庫履歴!$G$10:$G$1009,入出庫履歴!$E$10:$E$1009,C125,入出庫履歴!$D$10:$D$1009,"出庫"))</f>
        <v/>
      </c>
      <c r="N125" s="13" t="str">
        <f>IF(C125="","",SUMIFS(入出庫履歴!$G$10:$G$1009,入出庫履歴!$E$10:$E$1009,C125,入出庫履歴!$D$10:$D$1009,"廃棄"))</f>
        <v/>
      </c>
      <c r="O125" s="14" t="str">
        <f>IF(C125="","",SUMIFS(入出庫履歴!$G$10:$G$1009,入出庫履歴!$E$10:$E$1009,C125,入出庫履歴!$D$10:$D$1009,"棚卸調整"))</f>
        <v/>
      </c>
      <c r="P125" s="13" t="str">
        <f t="shared" si="4"/>
        <v/>
      </c>
      <c r="Q125" s="15" t="str">
        <f t="shared" si="5"/>
        <v/>
      </c>
      <c r="R125" s="16"/>
      <c r="S125" s="16"/>
      <c r="T125" s="17" t="str">
        <f t="shared" si="6"/>
        <v/>
      </c>
      <c r="U125" s="13" t="str">
        <f t="shared" si="7"/>
        <v/>
      </c>
      <c r="V125" s="18" t="str">
        <f>IF(C125="","",IF(_xlfn.MINIFS(入出庫履歴!$K$10:$K$1009,入出庫履歴!$E$10:$E$1009,C125,入出庫履歴!$N$10:$N$1009,"&gt;0")=0,"",_xlfn.MINIFS(入出庫履歴!$K$10:$K$1009,入出庫履歴!$E$10:$E$1009,C125,入出庫履歴!$N$10:$N$1009,"&gt;0")))</f>
        <v/>
      </c>
      <c r="W125" s="17" t="str">
        <f ca="1">IF(OR(V125="",P125&lt;=0),"",IF(V125&lt;TODAY(),"期限切れ",IF(V125-TODAY()&lt;=設定!$C$4,"期限間近","")))</f>
        <v/>
      </c>
      <c r="X125" s="19"/>
      <c r="Y125" s="19"/>
      <c r="Z125" t="str">
        <f>IF(OR(T125="要発注",T125="欠品",T125="在庫異常"),COUNTIF($T$10:T125,"要発注")+COUNTIF($T$10:T125,"欠品")+COUNTIF($T$10:T125,"在庫異常"),"")</f>
        <v/>
      </c>
    </row>
    <row r="126" spans="2:26">
      <c r="B126" s="8" t="str">
        <f>IF(C126="","",COUNTA($C$10:C126))</f>
        <v/>
      </c>
      <c r="C126" s="9"/>
      <c r="D126" s="19"/>
      <c r="E126" s="19"/>
      <c r="F126" s="10"/>
      <c r="G126" s="11"/>
      <c r="H126" s="9"/>
      <c r="I126" s="11"/>
      <c r="J126" s="19"/>
      <c r="K126" s="12"/>
      <c r="L126" s="13" t="str">
        <f>IF(C126="","",SUMIFS(入出庫履歴!$G$10:$G$1009,入出庫履歴!$E$10:$E$1009,C126,入出庫履歴!$D$10:$D$1009,"入庫"))</f>
        <v/>
      </c>
      <c r="M126" s="13" t="str">
        <f>IF(C126="","",SUMIFS(入出庫履歴!$G$10:$G$1009,入出庫履歴!$E$10:$E$1009,C126,入出庫履歴!$D$10:$D$1009,"出庫"))</f>
        <v/>
      </c>
      <c r="N126" s="13" t="str">
        <f>IF(C126="","",SUMIFS(入出庫履歴!$G$10:$G$1009,入出庫履歴!$E$10:$E$1009,C126,入出庫履歴!$D$10:$D$1009,"廃棄"))</f>
        <v/>
      </c>
      <c r="O126" s="14" t="str">
        <f>IF(C126="","",SUMIFS(入出庫履歴!$G$10:$G$1009,入出庫履歴!$E$10:$E$1009,C126,入出庫履歴!$D$10:$D$1009,"棚卸調整"))</f>
        <v/>
      </c>
      <c r="P126" s="13" t="str">
        <f t="shared" si="4"/>
        <v/>
      </c>
      <c r="Q126" s="15" t="str">
        <f t="shared" si="5"/>
        <v/>
      </c>
      <c r="R126" s="16"/>
      <c r="S126" s="16"/>
      <c r="T126" s="17" t="str">
        <f t="shared" si="6"/>
        <v/>
      </c>
      <c r="U126" s="13" t="str">
        <f t="shared" si="7"/>
        <v/>
      </c>
      <c r="V126" s="18" t="str">
        <f>IF(C126="","",IF(_xlfn.MINIFS(入出庫履歴!$K$10:$K$1009,入出庫履歴!$E$10:$E$1009,C126,入出庫履歴!$N$10:$N$1009,"&gt;0")=0,"",_xlfn.MINIFS(入出庫履歴!$K$10:$K$1009,入出庫履歴!$E$10:$E$1009,C126,入出庫履歴!$N$10:$N$1009,"&gt;0")))</f>
        <v/>
      </c>
      <c r="W126" s="17" t="str">
        <f ca="1">IF(OR(V126="",P126&lt;=0),"",IF(V126&lt;TODAY(),"期限切れ",IF(V126-TODAY()&lt;=設定!$C$4,"期限間近","")))</f>
        <v/>
      </c>
      <c r="X126" s="19"/>
      <c r="Y126" s="19"/>
      <c r="Z126" t="str">
        <f>IF(OR(T126="要発注",T126="欠品",T126="在庫異常"),COUNTIF($T$10:T126,"要発注")+COUNTIF($T$10:T126,"欠品")+COUNTIF($T$10:T126,"在庫異常"),"")</f>
        <v/>
      </c>
    </row>
    <row r="127" spans="2:26">
      <c r="B127" s="8" t="str">
        <f>IF(C127="","",COUNTA($C$10:C127))</f>
        <v/>
      </c>
      <c r="C127" s="9"/>
      <c r="D127" s="19"/>
      <c r="E127" s="19"/>
      <c r="F127" s="10"/>
      <c r="G127" s="11"/>
      <c r="H127" s="9"/>
      <c r="I127" s="11"/>
      <c r="J127" s="19"/>
      <c r="K127" s="12"/>
      <c r="L127" s="13" t="str">
        <f>IF(C127="","",SUMIFS(入出庫履歴!$G$10:$G$1009,入出庫履歴!$E$10:$E$1009,C127,入出庫履歴!$D$10:$D$1009,"入庫"))</f>
        <v/>
      </c>
      <c r="M127" s="13" t="str">
        <f>IF(C127="","",SUMIFS(入出庫履歴!$G$10:$G$1009,入出庫履歴!$E$10:$E$1009,C127,入出庫履歴!$D$10:$D$1009,"出庫"))</f>
        <v/>
      </c>
      <c r="N127" s="13" t="str">
        <f>IF(C127="","",SUMIFS(入出庫履歴!$G$10:$G$1009,入出庫履歴!$E$10:$E$1009,C127,入出庫履歴!$D$10:$D$1009,"廃棄"))</f>
        <v/>
      </c>
      <c r="O127" s="14" t="str">
        <f>IF(C127="","",SUMIFS(入出庫履歴!$G$10:$G$1009,入出庫履歴!$E$10:$E$1009,C127,入出庫履歴!$D$10:$D$1009,"棚卸調整"))</f>
        <v/>
      </c>
      <c r="P127" s="13" t="str">
        <f t="shared" si="4"/>
        <v/>
      </c>
      <c r="Q127" s="15" t="str">
        <f t="shared" si="5"/>
        <v/>
      </c>
      <c r="R127" s="16"/>
      <c r="S127" s="16"/>
      <c r="T127" s="17" t="str">
        <f t="shared" si="6"/>
        <v/>
      </c>
      <c r="U127" s="13" t="str">
        <f t="shared" si="7"/>
        <v/>
      </c>
      <c r="V127" s="18" t="str">
        <f>IF(C127="","",IF(_xlfn.MINIFS(入出庫履歴!$K$10:$K$1009,入出庫履歴!$E$10:$E$1009,C127,入出庫履歴!$N$10:$N$1009,"&gt;0")=0,"",_xlfn.MINIFS(入出庫履歴!$K$10:$K$1009,入出庫履歴!$E$10:$E$1009,C127,入出庫履歴!$N$10:$N$1009,"&gt;0")))</f>
        <v/>
      </c>
      <c r="W127" s="17" t="str">
        <f ca="1">IF(OR(V127="",P127&lt;=0),"",IF(V127&lt;TODAY(),"期限切れ",IF(V127-TODAY()&lt;=設定!$C$4,"期限間近","")))</f>
        <v/>
      </c>
      <c r="X127" s="19"/>
      <c r="Y127" s="19"/>
      <c r="Z127" t="str">
        <f>IF(OR(T127="要発注",T127="欠品",T127="在庫異常"),COUNTIF($T$10:T127,"要発注")+COUNTIF($T$10:T127,"欠品")+COUNTIF($T$10:T127,"在庫異常"),"")</f>
        <v/>
      </c>
    </row>
    <row r="128" spans="2:26">
      <c r="B128" s="8" t="str">
        <f>IF(C128="","",COUNTA($C$10:C128))</f>
        <v/>
      </c>
      <c r="C128" s="9"/>
      <c r="D128" s="19"/>
      <c r="E128" s="19"/>
      <c r="F128" s="10"/>
      <c r="G128" s="11"/>
      <c r="H128" s="9"/>
      <c r="I128" s="11"/>
      <c r="J128" s="19"/>
      <c r="K128" s="12"/>
      <c r="L128" s="13" t="str">
        <f>IF(C128="","",SUMIFS(入出庫履歴!$G$10:$G$1009,入出庫履歴!$E$10:$E$1009,C128,入出庫履歴!$D$10:$D$1009,"入庫"))</f>
        <v/>
      </c>
      <c r="M128" s="13" t="str">
        <f>IF(C128="","",SUMIFS(入出庫履歴!$G$10:$G$1009,入出庫履歴!$E$10:$E$1009,C128,入出庫履歴!$D$10:$D$1009,"出庫"))</f>
        <v/>
      </c>
      <c r="N128" s="13" t="str">
        <f>IF(C128="","",SUMIFS(入出庫履歴!$G$10:$G$1009,入出庫履歴!$E$10:$E$1009,C128,入出庫履歴!$D$10:$D$1009,"廃棄"))</f>
        <v/>
      </c>
      <c r="O128" s="14" t="str">
        <f>IF(C128="","",SUMIFS(入出庫履歴!$G$10:$G$1009,入出庫履歴!$E$10:$E$1009,C128,入出庫履歴!$D$10:$D$1009,"棚卸調整"))</f>
        <v/>
      </c>
      <c r="P128" s="13" t="str">
        <f t="shared" si="4"/>
        <v/>
      </c>
      <c r="Q128" s="15" t="str">
        <f t="shared" si="5"/>
        <v/>
      </c>
      <c r="R128" s="16"/>
      <c r="S128" s="16"/>
      <c r="T128" s="17" t="str">
        <f t="shared" si="6"/>
        <v/>
      </c>
      <c r="U128" s="13" t="str">
        <f t="shared" si="7"/>
        <v/>
      </c>
      <c r="V128" s="18" t="str">
        <f>IF(C128="","",IF(_xlfn.MINIFS(入出庫履歴!$K$10:$K$1009,入出庫履歴!$E$10:$E$1009,C128,入出庫履歴!$N$10:$N$1009,"&gt;0")=0,"",_xlfn.MINIFS(入出庫履歴!$K$10:$K$1009,入出庫履歴!$E$10:$E$1009,C128,入出庫履歴!$N$10:$N$1009,"&gt;0")))</f>
        <v/>
      </c>
      <c r="W128" s="17" t="str">
        <f ca="1">IF(OR(V128="",P128&lt;=0),"",IF(V128&lt;TODAY(),"期限切れ",IF(V128-TODAY()&lt;=設定!$C$4,"期限間近","")))</f>
        <v/>
      </c>
      <c r="X128" s="19"/>
      <c r="Y128" s="19"/>
      <c r="Z128" t="str">
        <f>IF(OR(T128="要発注",T128="欠品",T128="在庫異常"),COUNTIF($T$10:T128,"要発注")+COUNTIF($T$10:T128,"欠品")+COUNTIF($T$10:T128,"在庫異常"),"")</f>
        <v/>
      </c>
    </row>
    <row r="129" spans="2:26">
      <c r="B129" s="8" t="str">
        <f>IF(C129="","",COUNTA($C$10:C129))</f>
        <v/>
      </c>
      <c r="C129" s="9"/>
      <c r="D129" s="19"/>
      <c r="E129" s="19"/>
      <c r="F129" s="10"/>
      <c r="G129" s="11"/>
      <c r="H129" s="9"/>
      <c r="I129" s="11"/>
      <c r="J129" s="19"/>
      <c r="K129" s="12"/>
      <c r="L129" s="13" t="str">
        <f>IF(C129="","",SUMIFS(入出庫履歴!$G$10:$G$1009,入出庫履歴!$E$10:$E$1009,C129,入出庫履歴!$D$10:$D$1009,"入庫"))</f>
        <v/>
      </c>
      <c r="M129" s="13" t="str">
        <f>IF(C129="","",SUMIFS(入出庫履歴!$G$10:$G$1009,入出庫履歴!$E$10:$E$1009,C129,入出庫履歴!$D$10:$D$1009,"出庫"))</f>
        <v/>
      </c>
      <c r="N129" s="13" t="str">
        <f>IF(C129="","",SUMIFS(入出庫履歴!$G$10:$G$1009,入出庫履歴!$E$10:$E$1009,C129,入出庫履歴!$D$10:$D$1009,"廃棄"))</f>
        <v/>
      </c>
      <c r="O129" s="14" t="str">
        <f>IF(C129="","",SUMIFS(入出庫履歴!$G$10:$G$1009,入出庫履歴!$E$10:$E$1009,C129,入出庫履歴!$D$10:$D$1009,"棚卸調整"))</f>
        <v/>
      </c>
      <c r="P129" s="13" t="str">
        <f t="shared" si="4"/>
        <v/>
      </c>
      <c r="Q129" s="15" t="str">
        <f t="shared" si="5"/>
        <v/>
      </c>
      <c r="R129" s="16"/>
      <c r="S129" s="16"/>
      <c r="T129" s="17" t="str">
        <f t="shared" si="6"/>
        <v/>
      </c>
      <c r="U129" s="13" t="str">
        <f t="shared" si="7"/>
        <v/>
      </c>
      <c r="V129" s="18" t="str">
        <f>IF(C129="","",IF(_xlfn.MINIFS(入出庫履歴!$K$10:$K$1009,入出庫履歴!$E$10:$E$1009,C129,入出庫履歴!$N$10:$N$1009,"&gt;0")=0,"",_xlfn.MINIFS(入出庫履歴!$K$10:$K$1009,入出庫履歴!$E$10:$E$1009,C129,入出庫履歴!$N$10:$N$1009,"&gt;0")))</f>
        <v/>
      </c>
      <c r="W129" s="17" t="str">
        <f ca="1">IF(OR(V129="",P129&lt;=0),"",IF(V129&lt;TODAY(),"期限切れ",IF(V129-TODAY()&lt;=設定!$C$4,"期限間近","")))</f>
        <v/>
      </c>
      <c r="X129" s="19"/>
      <c r="Y129" s="19"/>
      <c r="Z129" t="str">
        <f>IF(OR(T129="要発注",T129="欠品",T129="在庫異常"),COUNTIF($T$10:T129,"要発注")+COUNTIF($T$10:T129,"欠品")+COUNTIF($T$10:T129,"在庫異常"),"")</f>
        <v/>
      </c>
    </row>
    <row r="130" spans="2:26">
      <c r="B130" s="8" t="str">
        <f>IF(C130="","",COUNTA($C$10:C130))</f>
        <v/>
      </c>
      <c r="C130" s="9"/>
      <c r="D130" s="19"/>
      <c r="E130" s="19"/>
      <c r="F130" s="10"/>
      <c r="G130" s="11"/>
      <c r="H130" s="9"/>
      <c r="I130" s="11"/>
      <c r="J130" s="19"/>
      <c r="K130" s="12"/>
      <c r="L130" s="13" t="str">
        <f>IF(C130="","",SUMIFS(入出庫履歴!$G$10:$G$1009,入出庫履歴!$E$10:$E$1009,C130,入出庫履歴!$D$10:$D$1009,"入庫"))</f>
        <v/>
      </c>
      <c r="M130" s="13" t="str">
        <f>IF(C130="","",SUMIFS(入出庫履歴!$G$10:$G$1009,入出庫履歴!$E$10:$E$1009,C130,入出庫履歴!$D$10:$D$1009,"出庫"))</f>
        <v/>
      </c>
      <c r="N130" s="13" t="str">
        <f>IF(C130="","",SUMIFS(入出庫履歴!$G$10:$G$1009,入出庫履歴!$E$10:$E$1009,C130,入出庫履歴!$D$10:$D$1009,"廃棄"))</f>
        <v/>
      </c>
      <c r="O130" s="14" t="str">
        <f>IF(C130="","",SUMIFS(入出庫履歴!$G$10:$G$1009,入出庫履歴!$E$10:$E$1009,C130,入出庫履歴!$D$10:$D$1009,"棚卸調整"))</f>
        <v/>
      </c>
      <c r="P130" s="13" t="str">
        <f t="shared" si="4"/>
        <v/>
      </c>
      <c r="Q130" s="15" t="str">
        <f t="shared" si="5"/>
        <v/>
      </c>
      <c r="R130" s="16"/>
      <c r="S130" s="16"/>
      <c r="T130" s="17" t="str">
        <f t="shared" si="6"/>
        <v/>
      </c>
      <c r="U130" s="13" t="str">
        <f t="shared" si="7"/>
        <v/>
      </c>
      <c r="V130" s="18" t="str">
        <f>IF(C130="","",IF(_xlfn.MINIFS(入出庫履歴!$K$10:$K$1009,入出庫履歴!$E$10:$E$1009,C130,入出庫履歴!$N$10:$N$1009,"&gt;0")=0,"",_xlfn.MINIFS(入出庫履歴!$K$10:$K$1009,入出庫履歴!$E$10:$E$1009,C130,入出庫履歴!$N$10:$N$1009,"&gt;0")))</f>
        <v/>
      </c>
      <c r="W130" s="17" t="str">
        <f ca="1">IF(OR(V130="",P130&lt;=0),"",IF(V130&lt;TODAY(),"期限切れ",IF(V130-TODAY()&lt;=設定!$C$4,"期限間近","")))</f>
        <v/>
      </c>
      <c r="X130" s="19"/>
      <c r="Y130" s="19"/>
      <c r="Z130" t="str">
        <f>IF(OR(T130="要発注",T130="欠品",T130="在庫異常"),COUNTIF($T$10:T130,"要発注")+COUNTIF($T$10:T130,"欠品")+COUNTIF($T$10:T130,"在庫異常"),"")</f>
        <v/>
      </c>
    </row>
    <row r="131" spans="2:26">
      <c r="B131" s="8" t="str">
        <f>IF(C131="","",COUNTA($C$10:C131))</f>
        <v/>
      </c>
      <c r="C131" s="9"/>
      <c r="D131" s="19"/>
      <c r="E131" s="19"/>
      <c r="F131" s="10"/>
      <c r="G131" s="11"/>
      <c r="H131" s="9"/>
      <c r="I131" s="11"/>
      <c r="J131" s="19"/>
      <c r="K131" s="12"/>
      <c r="L131" s="13" t="str">
        <f>IF(C131="","",SUMIFS(入出庫履歴!$G$10:$G$1009,入出庫履歴!$E$10:$E$1009,C131,入出庫履歴!$D$10:$D$1009,"入庫"))</f>
        <v/>
      </c>
      <c r="M131" s="13" t="str">
        <f>IF(C131="","",SUMIFS(入出庫履歴!$G$10:$G$1009,入出庫履歴!$E$10:$E$1009,C131,入出庫履歴!$D$10:$D$1009,"出庫"))</f>
        <v/>
      </c>
      <c r="N131" s="13" t="str">
        <f>IF(C131="","",SUMIFS(入出庫履歴!$G$10:$G$1009,入出庫履歴!$E$10:$E$1009,C131,入出庫履歴!$D$10:$D$1009,"廃棄"))</f>
        <v/>
      </c>
      <c r="O131" s="14" t="str">
        <f>IF(C131="","",SUMIFS(入出庫履歴!$G$10:$G$1009,入出庫履歴!$E$10:$E$1009,C131,入出庫履歴!$D$10:$D$1009,"棚卸調整"))</f>
        <v/>
      </c>
      <c r="P131" s="13" t="str">
        <f t="shared" si="4"/>
        <v/>
      </c>
      <c r="Q131" s="15" t="str">
        <f t="shared" si="5"/>
        <v/>
      </c>
      <c r="R131" s="16"/>
      <c r="S131" s="16"/>
      <c r="T131" s="17" t="str">
        <f t="shared" si="6"/>
        <v/>
      </c>
      <c r="U131" s="13" t="str">
        <f t="shared" si="7"/>
        <v/>
      </c>
      <c r="V131" s="18" t="str">
        <f>IF(C131="","",IF(_xlfn.MINIFS(入出庫履歴!$K$10:$K$1009,入出庫履歴!$E$10:$E$1009,C131,入出庫履歴!$N$10:$N$1009,"&gt;0")=0,"",_xlfn.MINIFS(入出庫履歴!$K$10:$K$1009,入出庫履歴!$E$10:$E$1009,C131,入出庫履歴!$N$10:$N$1009,"&gt;0")))</f>
        <v/>
      </c>
      <c r="W131" s="17" t="str">
        <f ca="1">IF(OR(V131="",P131&lt;=0),"",IF(V131&lt;TODAY(),"期限切れ",IF(V131-TODAY()&lt;=設定!$C$4,"期限間近","")))</f>
        <v/>
      </c>
      <c r="X131" s="19"/>
      <c r="Y131" s="19"/>
      <c r="Z131" t="str">
        <f>IF(OR(T131="要発注",T131="欠品",T131="在庫異常"),COUNTIF($T$10:T131,"要発注")+COUNTIF($T$10:T131,"欠品")+COUNTIF($T$10:T131,"在庫異常"),"")</f>
        <v/>
      </c>
    </row>
    <row r="132" spans="2:26">
      <c r="B132" s="8" t="str">
        <f>IF(C132="","",COUNTA($C$10:C132))</f>
        <v/>
      </c>
      <c r="C132" s="9"/>
      <c r="D132" s="19"/>
      <c r="E132" s="19"/>
      <c r="F132" s="10"/>
      <c r="G132" s="11"/>
      <c r="H132" s="9"/>
      <c r="I132" s="11"/>
      <c r="J132" s="19"/>
      <c r="K132" s="12"/>
      <c r="L132" s="13" t="str">
        <f>IF(C132="","",SUMIFS(入出庫履歴!$G$10:$G$1009,入出庫履歴!$E$10:$E$1009,C132,入出庫履歴!$D$10:$D$1009,"入庫"))</f>
        <v/>
      </c>
      <c r="M132" s="13" t="str">
        <f>IF(C132="","",SUMIFS(入出庫履歴!$G$10:$G$1009,入出庫履歴!$E$10:$E$1009,C132,入出庫履歴!$D$10:$D$1009,"出庫"))</f>
        <v/>
      </c>
      <c r="N132" s="13" t="str">
        <f>IF(C132="","",SUMIFS(入出庫履歴!$G$10:$G$1009,入出庫履歴!$E$10:$E$1009,C132,入出庫履歴!$D$10:$D$1009,"廃棄"))</f>
        <v/>
      </c>
      <c r="O132" s="14" t="str">
        <f>IF(C132="","",SUMIFS(入出庫履歴!$G$10:$G$1009,入出庫履歴!$E$10:$E$1009,C132,入出庫履歴!$D$10:$D$1009,"棚卸調整"))</f>
        <v/>
      </c>
      <c r="P132" s="13" t="str">
        <f t="shared" si="4"/>
        <v/>
      </c>
      <c r="Q132" s="15" t="str">
        <f t="shared" si="5"/>
        <v/>
      </c>
      <c r="R132" s="16"/>
      <c r="S132" s="16"/>
      <c r="T132" s="17" t="str">
        <f t="shared" si="6"/>
        <v/>
      </c>
      <c r="U132" s="13" t="str">
        <f t="shared" si="7"/>
        <v/>
      </c>
      <c r="V132" s="18" t="str">
        <f>IF(C132="","",IF(_xlfn.MINIFS(入出庫履歴!$K$10:$K$1009,入出庫履歴!$E$10:$E$1009,C132,入出庫履歴!$N$10:$N$1009,"&gt;0")=0,"",_xlfn.MINIFS(入出庫履歴!$K$10:$K$1009,入出庫履歴!$E$10:$E$1009,C132,入出庫履歴!$N$10:$N$1009,"&gt;0")))</f>
        <v/>
      </c>
      <c r="W132" s="17" t="str">
        <f ca="1">IF(OR(V132="",P132&lt;=0),"",IF(V132&lt;TODAY(),"期限切れ",IF(V132-TODAY()&lt;=設定!$C$4,"期限間近","")))</f>
        <v/>
      </c>
      <c r="X132" s="19"/>
      <c r="Y132" s="19"/>
      <c r="Z132" t="str">
        <f>IF(OR(T132="要発注",T132="欠品",T132="在庫異常"),COUNTIF($T$10:T132,"要発注")+COUNTIF($T$10:T132,"欠品")+COUNTIF($T$10:T132,"在庫異常"),"")</f>
        <v/>
      </c>
    </row>
    <row r="133" spans="2:26">
      <c r="B133" s="8" t="str">
        <f>IF(C133="","",COUNTA($C$10:C133))</f>
        <v/>
      </c>
      <c r="C133" s="9"/>
      <c r="D133" s="19"/>
      <c r="E133" s="19"/>
      <c r="F133" s="10"/>
      <c r="G133" s="11"/>
      <c r="H133" s="9"/>
      <c r="I133" s="11"/>
      <c r="J133" s="19"/>
      <c r="K133" s="12"/>
      <c r="L133" s="13" t="str">
        <f>IF(C133="","",SUMIFS(入出庫履歴!$G$10:$G$1009,入出庫履歴!$E$10:$E$1009,C133,入出庫履歴!$D$10:$D$1009,"入庫"))</f>
        <v/>
      </c>
      <c r="M133" s="13" t="str">
        <f>IF(C133="","",SUMIFS(入出庫履歴!$G$10:$G$1009,入出庫履歴!$E$10:$E$1009,C133,入出庫履歴!$D$10:$D$1009,"出庫"))</f>
        <v/>
      </c>
      <c r="N133" s="13" t="str">
        <f>IF(C133="","",SUMIFS(入出庫履歴!$G$10:$G$1009,入出庫履歴!$E$10:$E$1009,C133,入出庫履歴!$D$10:$D$1009,"廃棄"))</f>
        <v/>
      </c>
      <c r="O133" s="14" t="str">
        <f>IF(C133="","",SUMIFS(入出庫履歴!$G$10:$G$1009,入出庫履歴!$E$10:$E$1009,C133,入出庫履歴!$D$10:$D$1009,"棚卸調整"))</f>
        <v/>
      </c>
      <c r="P133" s="13" t="str">
        <f t="shared" si="4"/>
        <v/>
      </c>
      <c r="Q133" s="15" t="str">
        <f t="shared" si="5"/>
        <v/>
      </c>
      <c r="R133" s="16"/>
      <c r="S133" s="16"/>
      <c r="T133" s="17" t="str">
        <f t="shared" si="6"/>
        <v/>
      </c>
      <c r="U133" s="13" t="str">
        <f t="shared" si="7"/>
        <v/>
      </c>
      <c r="V133" s="18" t="str">
        <f>IF(C133="","",IF(_xlfn.MINIFS(入出庫履歴!$K$10:$K$1009,入出庫履歴!$E$10:$E$1009,C133,入出庫履歴!$N$10:$N$1009,"&gt;0")=0,"",_xlfn.MINIFS(入出庫履歴!$K$10:$K$1009,入出庫履歴!$E$10:$E$1009,C133,入出庫履歴!$N$10:$N$1009,"&gt;0")))</f>
        <v/>
      </c>
      <c r="W133" s="17" t="str">
        <f ca="1">IF(OR(V133="",P133&lt;=0),"",IF(V133&lt;TODAY(),"期限切れ",IF(V133-TODAY()&lt;=設定!$C$4,"期限間近","")))</f>
        <v/>
      </c>
      <c r="X133" s="19"/>
      <c r="Y133" s="19"/>
      <c r="Z133" t="str">
        <f>IF(OR(T133="要発注",T133="欠品",T133="在庫異常"),COUNTIF($T$10:T133,"要発注")+COUNTIF($T$10:T133,"欠品")+COUNTIF($T$10:T133,"在庫異常"),"")</f>
        <v/>
      </c>
    </row>
    <row r="134" spans="2:26">
      <c r="B134" s="8" t="str">
        <f>IF(C134="","",COUNTA($C$10:C134))</f>
        <v/>
      </c>
      <c r="C134" s="9"/>
      <c r="D134" s="19"/>
      <c r="E134" s="19"/>
      <c r="F134" s="10"/>
      <c r="G134" s="11"/>
      <c r="H134" s="9"/>
      <c r="I134" s="11"/>
      <c r="J134" s="19"/>
      <c r="K134" s="12"/>
      <c r="L134" s="13" t="str">
        <f>IF(C134="","",SUMIFS(入出庫履歴!$G$10:$G$1009,入出庫履歴!$E$10:$E$1009,C134,入出庫履歴!$D$10:$D$1009,"入庫"))</f>
        <v/>
      </c>
      <c r="M134" s="13" t="str">
        <f>IF(C134="","",SUMIFS(入出庫履歴!$G$10:$G$1009,入出庫履歴!$E$10:$E$1009,C134,入出庫履歴!$D$10:$D$1009,"出庫"))</f>
        <v/>
      </c>
      <c r="N134" s="13" t="str">
        <f>IF(C134="","",SUMIFS(入出庫履歴!$G$10:$G$1009,入出庫履歴!$E$10:$E$1009,C134,入出庫履歴!$D$10:$D$1009,"廃棄"))</f>
        <v/>
      </c>
      <c r="O134" s="14" t="str">
        <f>IF(C134="","",SUMIFS(入出庫履歴!$G$10:$G$1009,入出庫履歴!$E$10:$E$1009,C134,入出庫履歴!$D$10:$D$1009,"棚卸調整"))</f>
        <v/>
      </c>
      <c r="P134" s="13" t="str">
        <f t="shared" si="4"/>
        <v/>
      </c>
      <c r="Q134" s="15" t="str">
        <f t="shared" si="5"/>
        <v/>
      </c>
      <c r="R134" s="16"/>
      <c r="S134" s="16"/>
      <c r="T134" s="17" t="str">
        <f t="shared" si="6"/>
        <v/>
      </c>
      <c r="U134" s="13" t="str">
        <f t="shared" si="7"/>
        <v/>
      </c>
      <c r="V134" s="18" t="str">
        <f>IF(C134="","",IF(_xlfn.MINIFS(入出庫履歴!$K$10:$K$1009,入出庫履歴!$E$10:$E$1009,C134,入出庫履歴!$N$10:$N$1009,"&gt;0")=0,"",_xlfn.MINIFS(入出庫履歴!$K$10:$K$1009,入出庫履歴!$E$10:$E$1009,C134,入出庫履歴!$N$10:$N$1009,"&gt;0")))</f>
        <v/>
      </c>
      <c r="W134" s="17" t="str">
        <f ca="1">IF(OR(V134="",P134&lt;=0),"",IF(V134&lt;TODAY(),"期限切れ",IF(V134-TODAY()&lt;=設定!$C$4,"期限間近","")))</f>
        <v/>
      </c>
      <c r="X134" s="19"/>
      <c r="Y134" s="19"/>
      <c r="Z134" t="str">
        <f>IF(OR(T134="要発注",T134="欠品",T134="在庫異常"),COUNTIF($T$10:T134,"要発注")+COUNTIF($T$10:T134,"欠品")+COUNTIF($T$10:T134,"在庫異常"),"")</f>
        <v/>
      </c>
    </row>
    <row r="135" spans="2:26">
      <c r="B135" s="8" t="str">
        <f>IF(C135="","",COUNTA($C$10:C135))</f>
        <v/>
      </c>
      <c r="C135" s="9"/>
      <c r="D135" s="19"/>
      <c r="E135" s="19"/>
      <c r="F135" s="10"/>
      <c r="G135" s="11"/>
      <c r="H135" s="9"/>
      <c r="I135" s="11"/>
      <c r="J135" s="19"/>
      <c r="K135" s="12"/>
      <c r="L135" s="13" t="str">
        <f>IF(C135="","",SUMIFS(入出庫履歴!$G$10:$G$1009,入出庫履歴!$E$10:$E$1009,C135,入出庫履歴!$D$10:$D$1009,"入庫"))</f>
        <v/>
      </c>
      <c r="M135" s="13" t="str">
        <f>IF(C135="","",SUMIFS(入出庫履歴!$G$10:$G$1009,入出庫履歴!$E$10:$E$1009,C135,入出庫履歴!$D$10:$D$1009,"出庫"))</f>
        <v/>
      </c>
      <c r="N135" s="13" t="str">
        <f>IF(C135="","",SUMIFS(入出庫履歴!$G$10:$G$1009,入出庫履歴!$E$10:$E$1009,C135,入出庫履歴!$D$10:$D$1009,"廃棄"))</f>
        <v/>
      </c>
      <c r="O135" s="14" t="str">
        <f>IF(C135="","",SUMIFS(入出庫履歴!$G$10:$G$1009,入出庫履歴!$E$10:$E$1009,C135,入出庫履歴!$D$10:$D$1009,"棚卸調整"))</f>
        <v/>
      </c>
      <c r="P135" s="13" t="str">
        <f t="shared" si="4"/>
        <v/>
      </c>
      <c r="Q135" s="15" t="str">
        <f t="shared" si="5"/>
        <v/>
      </c>
      <c r="R135" s="16"/>
      <c r="S135" s="16"/>
      <c r="T135" s="17" t="str">
        <f t="shared" si="6"/>
        <v/>
      </c>
      <c r="U135" s="13" t="str">
        <f t="shared" si="7"/>
        <v/>
      </c>
      <c r="V135" s="18" t="str">
        <f>IF(C135="","",IF(_xlfn.MINIFS(入出庫履歴!$K$10:$K$1009,入出庫履歴!$E$10:$E$1009,C135,入出庫履歴!$N$10:$N$1009,"&gt;0")=0,"",_xlfn.MINIFS(入出庫履歴!$K$10:$K$1009,入出庫履歴!$E$10:$E$1009,C135,入出庫履歴!$N$10:$N$1009,"&gt;0")))</f>
        <v/>
      </c>
      <c r="W135" s="17" t="str">
        <f ca="1">IF(OR(V135="",P135&lt;=0),"",IF(V135&lt;TODAY(),"期限切れ",IF(V135-TODAY()&lt;=設定!$C$4,"期限間近","")))</f>
        <v/>
      </c>
      <c r="X135" s="19"/>
      <c r="Y135" s="19"/>
      <c r="Z135" t="str">
        <f>IF(OR(T135="要発注",T135="欠品",T135="在庫異常"),COUNTIF($T$10:T135,"要発注")+COUNTIF($T$10:T135,"欠品")+COUNTIF($T$10:T135,"在庫異常"),"")</f>
        <v/>
      </c>
    </row>
    <row r="136" spans="2:26">
      <c r="B136" s="8" t="str">
        <f>IF(C136="","",COUNTA($C$10:C136))</f>
        <v/>
      </c>
      <c r="C136" s="9"/>
      <c r="D136" s="19"/>
      <c r="E136" s="19"/>
      <c r="F136" s="10"/>
      <c r="G136" s="11"/>
      <c r="H136" s="9"/>
      <c r="I136" s="11"/>
      <c r="J136" s="19"/>
      <c r="K136" s="12"/>
      <c r="L136" s="13" t="str">
        <f>IF(C136="","",SUMIFS(入出庫履歴!$G$10:$G$1009,入出庫履歴!$E$10:$E$1009,C136,入出庫履歴!$D$10:$D$1009,"入庫"))</f>
        <v/>
      </c>
      <c r="M136" s="13" t="str">
        <f>IF(C136="","",SUMIFS(入出庫履歴!$G$10:$G$1009,入出庫履歴!$E$10:$E$1009,C136,入出庫履歴!$D$10:$D$1009,"出庫"))</f>
        <v/>
      </c>
      <c r="N136" s="13" t="str">
        <f>IF(C136="","",SUMIFS(入出庫履歴!$G$10:$G$1009,入出庫履歴!$E$10:$E$1009,C136,入出庫履歴!$D$10:$D$1009,"廃棄"))</f>
        <v/>
      </c>
      <c r="O136" s="14" t="str">
        <f>IF(C136="","",SUMIFS(入出庫履歴!$G$10:$G$1009,入出庫履歴!$E$10:$E$1009,C136,入出庫履歴!$D$10:$D$1009,"棚卸調整"))</f>
        <v/>
      </c>
      <c r="P136" s="13" t="str">
        <f t="shared" si="4"/>
        <v/>
      </c>
      <c r="Q136" s="15" t="str">
        <f t="shared" si="5"/>
        <v/>
      </c>
      <c r="R136" s="16"/>
      <c r="S136" s="16"/>
      <c r="T136" s="17" t="str">
        <f t="shared" si="6"/>
        <v/>
      </c>
      <c r="U136" s="13" t="str">
        <f t="shared" si="7"/>
        <v/>
      </c>
      <c r="V136" s="18" t="str">
        <f>IF(C136="","",IF(_xlfn.MINIFS(入出庫履歴!$K$10:$K$1009,入出庫履歴!$E$10:$E$1009,C136,入出庫履歴!$N$10:$N$1009,"&gt;0")=0,"",_xlfn.MINIFS(入出庫履歴!$K$10:$K$1009,入出庫履歴!$E$10:$E$1009,C136,入出庫履歴!$N$10:$N$1009,"&gt;0")))</f>
        <v/>
      </c>
      <c r="W136" s="17" t="str">
        <f ca="1">IF(OR(V136="",P136&lt;=0),"",IF(V136&lt;TODAY(),"期限切れ",IF(V136-TODAY()&lt;=設定!$C$4,"期限間近","")))</f>
        <v/>
      </c>
      <c r="X136" s="19"/>
      <c r="Y136" s="19"/>
      <c r="Z136" t="str">
        <f>IF(OR(T136="要発注",T136="欠品",T136="在庫異常"),COUNTIF($T$10:T136,"要発注")+COUNTIF($T$10:T136,"欠品")+COUNTIF($T$10:T136,"在庫異常"),"")</f>
        <v/>
      </c>
    </row>
    <row r="137" spans="2:26">
      <c r="B137" s="8" t="str">
        <f>IF(C137="","",COUNTA($C$10:C137))</f>
        <v/>
      </c>
      <c r="C137" s="9"/>
      <c r="D137" s="19"/>
      <c r="E137" s="19"/>
      <c r="F137" s="10"/>
      <c r="G137" s="11"/>
      <c r="H137" s="9"/>
      <c r="I137" s="11"/>
      <c r="J137" s="19"/>
      <c r="K137" s="12"/>
      <c r="L137" s="13" t="str">
        <f>IF(C137="","",SUMIFS(入出庫履歴!$G$10:$G$1009,入出庫履歴!$E$10:$E$1009,C137,入出庫履歴!$D$10:$D$1009,"入庫"))</f>
        <v/>
      </c>
      <c r="M137" s="13" t="str">
        <f>IF(C137="","",SUMIFS(入出庫履歴!$G$10:$G$1009,入出庫履歴!$E$10:$E$1009,C137,入出庫履歴!$D$10:$D$1009,"出庫"))</f>
        <v/>
      </c>
      <c r="N137" s="13" t="str">
        <f>IF(C137="","",SUMIFS(入出庫履歴!$G$10:$G$1009,入出庫履歴!$E$10:$E$1009,C137,入出庫履歴!$D$10:$D$1009,"廃棄"))</f>
        <v/>
      </c>
      <c r="O137" s="14" t="str">
        <f>IF(C137="","",SUMIFS(入出庫履歴!$G$10:$G$1009,入出庫履歴!$E$10:$E$1009,C137,入出庫履歴!$D$10:$D$1009,"棚卸調整"))</f>
        <v/>
      </c>
      <c r="P137" s="13" t="str">
        <f t="shared" si="4"/>
        <v/>
      </c>
      <c r="Q137" s="15" t="str">
        <f t="shared" si="5"/>
        <v/>
      </c>
      <c r="R137" s="16"/>
      <c r="S137" s="16"/>
      <c r="T137" s="17" t="str">
        <f t="shared" si="6"/>
        <v/>
      </c>
      <c r="U137" s="13" t="str">
        <f t="shared" si="7"/>
        <v/>
      </c>
      <c r="V137" s="18" t="str">
        <f>IF(C137="","",IF(_xlfn.MINIFS(入出庫履歴!$K$10:$K$1009,入出庫履歴!$E$10:$E$1009,C137,入出庫履歴!$N$10:$N$1009,"&gt;0")=0,"",_xlfn.MINIFS(入出庫履歴!$K$10:$K$1009,入出庫履歴!$E$10:$E$1009,C137,入出庫履歴!$N$10:$N$1009,"&gt;0")))</f>
        <v/>
      </c>
      <c r="W137" s="17" t="str">
        <f ca="1">IF(OR(V137="",P137&lt;=0),"",IF(V137&lt;TODAY(),"期限切れ",IF(V137-TODAY()&lt;=設定!$C$4,"期限間近","")))</f>
        <v/>
      </c>
      <c r="X137" s="19"/>
      <c r="Y137" s="19"/>
      <c r="Z137" t="str">
        <f>IF(OR(T137="要発注",T137="欠品",T137="在庫異常"),COUNTIF($T$10:T137,"要発注")+COUNTIF($T$10:T137,"欠品")+COUNTIF($T$10:T137,"在庫異常"),"")</f>
        <v/>
      </c>
    </row>
    <row r="138" spans="2:26">
      <c r="B138" s="8" t="str">
        <f>IF(C138="","",COUNTA($C$10:C138))</f>
        <v/>
      </c>
      <c r="C138" s="9"/>
      <c r="D138" s="19"/>
      <c r="E138" s="19"/>
      <c r="F138" s="10"/>
      <c r="G138" s="11"/>
      <c r="H138" s="9"/>
      <c r="I138" s="11"/>
      <c r="J138" s="19"/>
      <c r="K138" s="12"/>
      <c r="L138" s="13" t="str">
        <f>IF(C138="","",SUMIFS(入出庫履歴!$G$10:$G$1009,入出庫履歴!$E$10:$E$1009,C138,入出庫履歴!$D$10:$D$1009,"入庫"))</f>
        <v/>
      </c>
      <c r="M138" s="13" t="str">
        <f>IF(C138="","",SUMIFS(入出庫履歴!$G$10:$G$1009,入出庫履歴!$E$10:$E$1009,C138,入出庫履歴!$D$10:$D$1009,"出庫"))</f>
        <v/>
      </c>
      <c r="N138" s="13" t="str">
        <f>IF(C138="","",SUMIFS(入出庫履歴!$G$10:$G$1009,入出庫履歴!$E$10:$E$1009,C138,入出庫履歴!$D$10:$D$1009,"廃棄"))</f>
        <v/>
      </c>
      <c r="O138" s="14" t="str">
        <f>IF(C138="","",SUMIFS(入出庫履歴!$G$10:$G$1009,入出庫履歴!$E$10:$E$1009,C138,入出庫履歴!$D$10:$D$1009,"棚卸調整"))</f>
        <v/>
      </c>
      <c r="P138" s="13" t="str">
        <f t="shared" ref="P138:P201" si="8">IF(C138="","",L138-M138-N138+O138)</f>
        <v/>
      </c>
      <c r="Q138" s="15" t="str">
        <f t="shared" ref="Q138:Q201" si="9">IF(OR(C138="",K138=""),"",ROUND(P138*K138,0))</f>
        <v/>
      </c>
      <c r="R138" s="16"/>
      <c r="S138" s="16"/>
      <c r="T138" s="17" t="str">
        <f t="shared" ref="T138:T201" si="10">IF(C138="","",IF(P138&lt;0,"在庫異常",IF(P138=0,"欠品",IF(AND(R138&lt;&gt;"",P138&lt;=R138),"要発注","適正"))))</f>
        <v/>
      </c>
      <c r="U138" s="13" t="str">
        <f t="shared" ref="U138:U201" si="11">IF(OR(T138="要発注",T138="欠品"),IF(S138&gt;0,CEILING(MAX(R138-P138,0)+S138*0.0001,S138),MAX(R138-P138,0)),"")</f>
        <v/>
      </c>
      <c r="V138" s="18" t="str">
        <f>IF(C138="","",IF(_xlfn.MINIFS(入出庫履歴!$K$10:$K$1009,入出庫履歴!$E$10:$E$1009,C138,入出庫履歴!$N$10:$N$1009,"&gt;0")=0,"",_xlfn.MINIFS(入出庫履歴!$K$10:$K$1009,入出庫履歴!$E$10:$E$1009,C138,入出庫履歴!$N$10:$N$1009,"&gt;0")))</f>
        <v/>
      </c>
      <c r="W138" s="17" t="str">
        <f ca="1">IF(OR(V138="",P138&lt;=0),"",IF(V138&lt;TODAY(),"期限切れ",IF(V138-TODAY()&lt;=設定!$C$4,"期限間近","")))</f>
        <v/>
      </c>
      <c r="X138" s="19"/>
      <c r="Y138" s="19"/>
      <c r="Z138" t="str">
        <f>IF(OR(T138="要発注",T138="欠品",T138="在庫異常"),COUNTIF($T$10:T138,"要発注")+COUNTIF($T$10:T138,"欠品")+COUNTIF($T$10:T138,"在庫異常"),"")</f>
        <v/>
      </c>
    </row>
    <row r="139" spans="2:26">
      <c r="B139" s="8" t="str">
        <f>IF(C139="","",COUNTA($C$10:C139))</f>
        <v/>
      </c>
      <c r="C139" s="9"/>
      <c r="D139" s="19"/>
      <c r="E139" s="19"/>
      <c r="F139" s="10"/>
      <c r="G139" s="11"/>
      <c r="H139" s="9"/>
      <c r="I139" s="11"/>
      <c r="J139" s="19"/>
      <c r="K139" s="12"/>
      <c r="L139" s="13" t="str">
        <f>IF(C139="","",SUMIFS(入出庫履歴!$G$10:$G$1009,入出庫履歴!$E$10:$E$1009,C139,入出庫履歴!$D$10:$D$1009,"入庫"))</f>
        <v/>
      </c>
      <c r="M139" s="13" t="str">
        <f>IF(C139="","",SUMIFS(入出庫履歴!$G$10:$G$1009,入出庫履歴!$E$10:$E$1009,C139,入出庫履歴!$D$10:$D$1009,"出庫"))</f>
        <v/>
      </c>
      <c r="N139" s="13" t="str">
        <f>IF(C139="","",SUMIFS(入出庫履歴!$G$10:$G$1009,入出庫履歴!$E$10:$E$1009,C139,入出庫履歴!$D$10:$D$1009,"廃棄"))</f>
        <v/>
      </c>
      <c r="O139" s="14" t="str">
        <f>IF(C139="","",SUMIFS(入出庫履歴!$G$10:$G$1009,入出庫履歴!$E$10:$E$1009,C139,入出庫履歴!$D$10:$D$1009,"棚卸調整"))</f>
        <v/>
      </c>
      <c r="P139" s="13" t="str">
        <f t="shared" si="8"/>
        <v/>
      </c>
      <c r="Q139" s="15" t="str">
        <f t="shared" si="9"/>
        <v/>
      </c>
      <c r="R139" s="16"/>
      <c r="S139" s="16"/>
      <c r="T139" s="17" t="str">
        <f t="shared" si="10"/>
        <v/>
      </c>
      <c r="U139" s="13" t="str">
        <f t="shared" si="11"/>
        <v/>
      </c>
      <c r="V139" s="18" t="str">
        <f>IF(C139="","",IF(_xlfn.MINIFS(入出庫履歴!$K$10:$K$1009,入出庫履歴!$E$10:$E$1009,C139,入出庫履歴!$N$10:$N$1009,"&gt;0")=0,"",_xlfn.MINIFS(入出庫履歴!$K$10:$K$1009,入出庫履歴!$E$10:$E$1009,C139,入出庫履歴!$N$10:$N$1009,"&gt;0")))</f>
        <v/>
      </c>
      <c r="W139" s="17" t="str">
        <f ca="1">IF(OR(V139="",P139&lt;=0),"",IF(V139&lt;TODAY(),"期限切れ",IF(V139-TODAY()&lt;=設定!$C$4,"期限間近","")))</f>
        <v/>
      </c>
      <c r="X139" s="19"/>
      <c r="Y139" s="19"/>
      <c r="Z139" t="str">
        <f>IF(OR(T139="要発注",T139="欠品",T139="在庫異常"),COUNTIF($T$10:T139,"要発注")+COUNTIF($T$10:T139,"欠品")+COUNTIF($T$10:T139,"在庫異常"),"")</f>
        <v/>
      </c>
    </row>
    <row r="140" spans="2:26">
      <c r="B140" s="8" t="str">
        <f>IF(C140="","",COUNTA($C$10:C140))</f>
        <v/>
      </c>
      <c r="C140" s="9"/>
      <c r="D140" s="19"/>
      <c r="E140" s="19"/>
      <c r="F140" s="10"/>
      <c r="G140" s="11"/>
      <c r="H140" s="9"/>
      <c r="I140" s="11"/>
      <c r="J140" s="19"/>
      <c r="K140" s="12"/>
      <c r="L140" s="13" t="str">
        <f>IF(C140="","",SUMIFS(入出庫履歴!$G$10:$G$1009,入出庫履歴!$E$10:$E$1009,C140,入出庫履歴!$D$10:$D$1009,"入庫"))</f>
        <v/>
      </c>
      <c r="M140" s="13" t="str">
        <f>IF(C140="","",SUMIFS(入出庫履歴!$G$10:$G$1009,入出庫履歴!$E$10:$E$1009,C140,入出庫履歴!$D$10:$D$1009,"出庫"))</f>
        <v/>
      </c>
      <c r="N140" s="13" t="str">
        <f>IF(C140="","",SUMIFS(入出庫履歴!$G$10:$G$1009,入出庫履歴!$E$10:$E$1009,C140,入出庫履歴!$D$10:$D$1009,"廃棄"))</f>
        <v/>
      </c>
      <c r="O140" s="14" t="str">
        <f>IF(C140="","",SUMIFS(入出庫履歴!$G$10:$G$1009,入出庫履歴!$E$10:$E$1009,C140,入出庫履歴!$D$10:$D$1009,"棚卸調整"))</f>
        <v/>
      </c>
      <c r="P140" s="13" t="str">
        <f t="shared" si="8"/>
        <v/>
      </c>
      <c r="Q140" s="15" t="str">
        <f t="shared" si="9"/>
        <v/>
      </c>
      <c r="R140" s="16"/>
      <c r="S140" s="16"/>
      <c r="T140" s="17" t="str">
        <f t="shared" si="10"/>
        <v/>
      </c>
      <c r="U140" s="13" t="str">
        <f t="shared" si="11"/>
        <v/>
      </c>
      <c r="V140" s="18" t="str">
        <f>IF(C140="","",IF(_xlfn.MINIFS(入出庫履歴!$K$10:$K$1009,入出庫履歴!$E$10:$E$1009,C140,入出庫履歴!$N$10:$N$1009,"&gt;0")=0,"",_xlfn.MINIFS(入出庫履歴!$K$10:$K$1009,入出庫履歴!$E$10:$E$1009,C140,入出庫履歴!$N$10:$N$1009,"&gt;0")))</f>
        <v/>
      </c>
      <c r="W140" s="17" t="str">
        <f ca="1">IF(OR(V140="",P140&lt;=0),"",IF(V140&lt;TODAY(),"期限切れ",IF(V140-TODAY()&lt;=設定!$C$4,"期限間近","")))</f>
        <v/>
      </c>
      <c r="X140" s="19"/>
      <c r="Y140" s="19"/>
      <c r="Z140" t="str">
        <f>IF(OR(T140="要発注",T140="欠品",T140="在庫異常"),COUNTIF($T$10:T140,"要発注")+COUNTIF($T$10:T140,"欠品")+COUNTIF($T$10:T140,"在庫異常"),"")</f>
        <v/>
      </c>
    </row>
    <row r="141" spans="2:26">
      <c r="B141" s="8" t="str">
        <f>IF(C141="","",COUNTA($C$10:C141))</f>
        <v/>
      </c>
      <c r="C141" s="9"/>
      <c r="D141" s="19"/>
      <c r="E141" s="19"/>
      <c r="F141" s="10"/>
      <c r="G141" s="11"/>
      <c r="H141" s="9"/>
      <c r="I141" s="11"/>
      <c r="J141" s="19"/>
      <c r="K141" s="12"/>
      <c r="L141" s="13" t="str">
        <f>IF(C141="","",SUMIFS(入出庫履歴!$G$10:$G$1009,入出庫履歴!$E$10:$E$1009,C141,入出庫履歴!$D$10:$D$1009,"入庫"))</f>
        <v/>
      </c>
      <c r="M141" s="13" t="str">
        <f>IF(C141="","",SUMIFS(入出庫履歴!$G$10:$G$1009,入出庫履歴!$E$10:$E$1009,C141,入出庫履歴!$D$10:$D$1009,"出庫"))</f>
        <v/>
      </c>
      <c r="N141" s="13" t="str">
        <f>IF(C141="","",SUMIFS(入出庫履歴!$G$10:$G$1009,入出庫履歴!$E$10:$E$1009,C141,入出庫履歴!$D$10:$D$1009,"廃棄"))</f>
        <v/>
      </c>
      <c r="O141" s="14" t="str">
        <f>IF(C141="","",SUMIFS(入出庫履歴!$G$10:$G$1009,入出庫履歴!$E$10:$E$1009,C141,入出庫履歴!$D$10:$D$1009,"棚卸調整"))</f>
        <v/>
      </c>
      <c r="P141" s="13" t="str">
        <f t="shared" si="8"/>
        <v/>
      </c>
      <c r="Q141" s="15" t="str">
        <f t="shared" si="9"/>
        <v/>
      </c>
      <c r="R141" s="16"/>
      <c r="S141" s="16"/>
      <c r="T141" s="17" t="str">
        <f t="shared" si="10"/>
        <v/>
      </c>
      <c r="U141" s="13" t="str">
        <f t="shared" si="11"/>
        <v/>
      </c>
      <c r="V141" s="18" t="str">
        <f>IF(C141="","",IF(_xlfn.MINIFS(入出庫履歴!$K$10:$K$1009,入出庫履歴!$E$10:$E$1009,C141,入出庫履歴!$N$10:$N$1009,"&gt;0")=0,"",_xlfn.MINIFS(入出庫履歴!$K$10:$K$1009,入出庫履歴!$E$10:$E$1009,C141,入出庫履歴!$N$10:$N$1009,"&gt;0")))</f>
        <v/>
      </c>
      <c r="W141" s="17" t="str">
        <f ca="1">IF(OR(V141="",P141&lt;=0),"",IF(V141&lt;TODAY(),"期限切れ",IF(V141-TODAY()&lt;=設定!$C$4,"期限間近","")))</f>
        <v/>
      </c>
      <c r="X141" s="19"/>
      <c r="Y141" s="19"/>
      <c r="Z141" t="str">
        <f>IF(OR(T141="要発注",T141="欠品",T141="在庫異常"),COUNTIF($T$10:T141,"要発注")+COUNTIF($T$10:T141,"欠品")+COUNTIF($T$10:T141,"在庫異常"),"")</f>
        <v/>
      </c>
    </row>
    <row r="142" spans="2:26">
      <c r="B142" s="8" t="str">
        <f>IF(C142="","",COUNTA($C$10:C142))</f>
        <v/>
      </c>
      <c r="C142" s="9"/>
      <c r="D142" s="19"/>
      <c r="E142" s="19"/>
      <c r="F142" s="10"/>
      <c r="G142" s="11"/>
      <c r="H142" s="9"/>
      <c r="I142" s="11"/>
      <c r="J142" s="19"/>
      <c r="K142" s="12"/>
      <c r="L142" s="13" t="str">
        <f>IF(C142="","",SUMIFS(入出庫履歴!$G$10:$G$1009,入出庫履歴!$E$10:$E$1009,C142,入出庫履歴!$D$10:$D$1009,"入庫"))</f>
        <v/>
      </c>
      <c r="M142" s="13" t="str">
        <f>IF(C142="","",SUMIFS(入出庫履歴!$G$10:$G$1009,入出庫履歴!$E$10:$E$1009,C142,入出庫履歴!$D$10:$D$1009,"出庫"))</f>
        <v/>
      </c>
      <c r="N142" s="13" t="str">
        <f>IF(C142="","",SUMIFS(入出庫履歴!$G$10:$G$1009,入出庫履歴!$E$10:$E$1009,C142,入出庫履歴!$D$10:$D$1009,"廃棄"))</f>
        <v/>
      </c>
      <c r="O142" s="14" t="str">
        <f>IF(C142="","",SUMIFS(入出庫履歴!$G$10:$G$1009,入出庫履歴!$E$10:$E$1009,C142,入出庫履歴!$D$10:$D$1009,"棚卸調整"))</f>
        <v/>
      </c>
      <c r="P142" s="13" t="str">
        <f t="shared" si="8"/>
        <v/>
      </c>
      <c r="Q142" s="15" t="str">
        <f t="shared" si="9"/>
        <v/>
      </c>
      <c r="R142" s="16"/>
      <c r="S142" s="16"/>
      <c r="T142" s="17" t="str">
        <f t="shared" si="10"/>
        <v/>
      </c>
      <c r="U142" s="13" t="str">
        <f t="shared" si="11"/>
        <v/>
      </c>
      <c r="V142" s="18" t="str">
        <f>IF(C142="","",IF(_xlfn.MINIFS(入出庫履歴!$K$10:$K$1009,入出庫履歴!$E$10:$E$1009,C142,入出庫履歴!$N$10:$N$1009,"&gt;0")=0,"",_xlfn.MINIFS(入出庫履歴!$K$10:$K$1009,入出庫履歴!$E$10:$E$1009,C142,入出庫履歴!$N$10:$N$1009,"&gt;0")))</f>
        <v/>
      </c>
      <c r="W142" s="17" t="str">
        <f ca="1">IF(OR(V142="",P142&lt;=0),"",IF(V142&lt;TODAY(),"期限切れ",IF(V142-TODAY()&lt;=設定!$C$4,"期限間近","")))</f>
        <v/>
      </c>
      <c r="X142" s="19"/>
      <c r="Y142" s="19"/>
      <c r="Z142" t="str">
        <f>IF(OR(T142="要発注",T142="欠品",T142="在庫異常"),COUNTIF($T$10:T142,"要発注")+COUNTIF($T$10:T142,"欠品")+COUNTIF($T$10:T142,"在庫異常"),"")</f>
        <v/>
      </c>
    </row>
    <row r="143" spans="2:26">
      <c r="B143" s="8" t="str">
        <f>IF(C143="","",COUNTA($C$10:C143))</f>
        <v/>
      </c>
      <c r="C143" s="9"/>
      <c r="D143" s="19"/>
      <c r="E143" s="19"/>
      <c r="F143" s="10"/>
      <c r="G143" s="11"/>
      <c r="H143" s="9"/>
      <c r="I143" s="11"/>
      <c r="J143" s="19"/>
      <c r="K143" s="12"/>
      <c r="L143" s="13" t="str">
        <f>IF(C143="","",SUMIFS(入出庫履歴!$G$10:$G$1009,入出庫履歴!$E$10:$E$1009,C143,入出庫履歴!$D$10:$D$1009,"入庫"))</f>
        <v/>
      </c>
      <c r="M143" s="13" t="str">
        <f>IF(C143="","",SUMIFS(入出庫履歴!$G$10:$G$1009,入出庫履歴!$E$10:$E$1009,C143,入出庫履歴!$D$10:$D$1009,"出庫"))</f>
        <v/>
      </c>
      <c r="N143" s="13" t="str">
        <f>IF(C143="","",SUMIFS(入出庫履歴!$G$10:$G$1009,入出庫履歴!$E$10:$E$1009,C143,入出庫履歴!$D$10:$D$1009,"廃棄"))</f>
        <v/>
      </c>
      <c r="O143" s="14" t="str">
        <f>IF(C143="","",SUMIFS(入出庫履歴!$G$10:$G$1009,入出庫履歴!$E$10:$E$1009,C143,入出庫履歴!$D$10:$D$1009,"棚卸調整"))</f>
        <v/>
      </c>
      <c r="P143" s="13" t="str">
        <f t="shared" si="8"/>
        <v/>
      </c>
      <c r="Q143" s="15" t="str">
        <f t="shared" si="9"/>
        <v/>
      </c>
      <c r="R143" s="16"/>
      <c r="S143" s="16"/>
      <c r="T143" s="17" t="str">
        <f t="shared" si="10"/>
        <v/>
      </c>
      <c r="U143" s="13" t="str">
        <f t="shared" si="11"/>
        <v/>
      </c>
      <c r="V143" s="18" t="str">
        <f>IF(C143="","",IF(_xlfn.MINIFS(入出庫履歴!$K$10:$K$1009,入出庫履歴!$E$10:$E$1009,C143,入出庫履歴!$N$10:$N$1009,"&gt;0")=0,"",_xlfn.MINIFS(入出庫履歴!$K$10:$K$1009,入出庫履歴!$E$10:$E$1009,C143,入出庫履歴!$N$10:$N$1009,"&gt;0")))</f>
        <v/>
      </c>
      <c r="W143" s="17" t="str">
        <f ca="1">IF(OR(V143="",P143&lt;=0),"",IF(V143&lt;TODAY(),"期限切れ",IF(V143-TODAY()&lt;=設定!$C$4,"期限間近","")))</f>
        <v/>
      </c>
      <c r="X143" s="19"/>
      <c r="Y143" s="19"/>
      <c r="Z143" t="str">
        <f>IF(OR(T143="要発注",T143="欠品",T143="在庫異常"),COUNTIF($T$10:T143,"要発注")+COUNTIF($T$10:T143,"欠品")+COUNTIF($T$10:T143,"在庫異常"),"")</f>
        <v/>
      </c>
    </row>
    <row r="144" spans="2:26">
      <c r="B144" s="8" t="str">
        <f>IF(C144="","",COUNTA($C$10:C144))</f>
        <v/>
      </c>
      <c r="C144" s="9"/>
      <c r="D144" s="19"/>
      <c r="E144" s="19"/>
      <c r="F144" s="10"/>
      <c r="G144" s="11"/>
      <c r="H144" s="9"/>
      <c r="I144" s="11"/>
      <c r="J144" s="19"/>
      <c r="K144" s="12"/>
      <c r="L144" s="13" t="str">
        <f>IF(C144="","",SUMIFS(入出庫履歴!$G$10:$G$1009,入出庫履歴!$E$10:$E$1009,C144,入出庫履歴!$D$10:$D$1009,"入庫"))</f>
        <v/>
      </c>
      <c r="M144" s="13" t="str">
        <f>IF(C144="","",SUMIFS(入出庫履歴!$G$10:$G$1009,入出庫履歴!$E$10:$E$1009,C144,入出庫履歴!$D$10:$D$1009,"出庫"))</f>
        <v/>
      </c>
      <c r="N144" s="13" t="str">
        <f>IF(C144="","",SUMIFS(入出庫履歴!$G$10:$G$1009,入出庫履歴!$E$10:$E$1009,C144,入出庫履歴!$D$10:$D$1009,"廃棄"))</f>
        <v/>
      </c>
      <c r="O144" s="14" t="str">
        <f>IF(C144="","",SUMIFS(入出庫履歴!$G$10:$G$1009,入出庫履歴!$E$10:$E$1009,C144,入出庫履歴!$D$10:$D$1009,"棚卸調整"))</f>
        <v/>
      </c>
      <c r="P144" s="13" t="str">
        <f t="shared" si="8"/>
        <v/>
      </c>
      <c r="Q144" s="15" t="str">
        <f t="shared" si="9"/>
        <v/>
      </c>
      <c r="R144" s="16"/>
      <c r="S144" s="16"/>
      <c r="T144" s="17" t="str">
        <f t="shared" si="10"/>
        <v/>
      </c>
      <c r="U144" s="13" t="str">
        <f t="shared" si="11"/>
        <v/>
      </c>
      <c r="V144" s="18" t="str">
        <f>IF(C144="","",IF(_xlfn.MINIFS(入出庫履歴!$K$10:$K$1009,入出庫履歴!$E$10:$E$1009,C144,入出庫履歴!$N$10:$N$1009,"&gt;0")=0,"",_xlfn.MINIFS(入出庫履歴!$K$10:$K$1009,入出庫履歴!$E$10:$E$1009,C144,入出庫履歴!$N$10:$N$1009,"&gt;0")))</f>
        <v/>
      </c>
      <c r="W144" s="17" t="str">
        <f ca="1">IF(OR(V144="",P144&lt;=0),"",IF(V144&lt;TODAY(),"期限切れ",IF(V144-TODAY()&lt;=設定!$C$4,"期限間近","")))</f>
        <v/>
      </c>
      <c r="X144" s="19"/>
      <c r="Y144" s="19"/>
      <c r="Z144" t="str">
        <f>IF(OR(T144="要発注",T144="欠品",T144="在庫異常"),COUNTIF($T$10:T144,"要発注")+COUNTIF($T$10:T144,"欠品")+COUNTIF($T$10:T144,"在庫異常"),"")</f>
        <v/>
      </c>
    </row>
    <row r="145" spans="2:26">
      <c r="B145" s="8" t="str">
        <f>IF(C145="","",COUNTA($C$10:C145))</f>
        <v/>
      </c>
      <c r="C145" s="9"/>
      <c r="D145" s="19"/>
      <c r="E145" s="19"/>
      <c r="F145" s="10"/>
      <c r="G145" s="11"/>
      <c r="H145" s="9"/>
      <c r="I145" s="11"/>
      <c r="J145" s="19"/>
      <c r="K145" s="12"/>
      <c r="L145" s="13" t="str">
        <f>IF(C145="","",SUMIFS(入出庫履歴!$G$10:$G$1009,入出庫履歴!$E$10:$E$1009,C145,入出庫履歴!$D$10:$D$1009,"入庫"))</f>
        <v/>
      </c>
      <c r="M145" s="13" t="str">
        <f>IF(C145="","",SUMIFS(入出庫履歴!$G$10:$G$1009,入出庫履歴!$E$10:$E$1009,C145,入出庫履歴!$D$10:$D$1009,"出庫"))</f>
        <v/>
      </c>
      <c r="N145" s="13" t="str">
        <f>IF(C145="","",SUMIFS(入出庫履歴!$G$10:$G$1009,入出庫履歴!$E$10:$E$1009,C145,入出庫履歴!$D$10:$D$1009,"廃棄"))</f>
        <v/>
      </c>
      <c r="O145" s="14" t="str">
        <f>IF(C145="","",SUMIFS(入出庫履歴!$G$10:$G$1009,入出庫履歴!$E$10:$E$1009,C145,入出庫履歴!$D$10:$D$1009,"棚卸調整"))</f>
        <v/>
      </c>
      <c r="P145" s="13" t="str">
        <f t="shared" si="8"/>
        <v/>
      </c>
      <c r="Q145" s="15" t="str">
        <f t="shared" si="9"/>
        <v/>
      </c>
      <c r="R145" s="16"/>
      <c r="S145" s="16"/>
      <c r="T145" s="17" t="str">
        <f t="shared" si="10"/>
        <v/>
      </c>
      <c r="U145" s="13" t="str">
        <f t="shared" si="11"/>
        <v/>
      </c>
      <c r="V145" s="18" t="str">
        <f>IF(C145="","",IF(_xlfn.MINIFS(入出庫履歴!$K$10:$K$1009,入出庫履歴!$E$10:$E$1009,C145,入出庫履歴!$N$10:$N$1009,"&gt;0")=0,"",_xlfn.MINIFS(入出庫履歴!$K$10:$K$1009,入出庫履歴!$E$10:$E$1009,C145,入出庫履歴!$N$10:$N$1009,"&gt;0")))</f>
        <v/>
      </c>
      <c r="W145" s="17" t="str">
        <f ca="1">IF(OR(V145="",P145&lt;=0),"",IF(V145&lt;TODAY(),"期限切れ",IF(V145-TODAY()&lt;=設定!$C$4,"期限間近","")))</f>
        <v/>
      </c>
      <c r="X145" s="19"/>
      <c r="Y145" s="19"/>
      <c r="Z145" t="str">
        <f>IF(OR(T145="要発注",T145="欠品",T145="在庫異常"),COUNTIF($T$10:T145,"要発注")+COUNTIF($T$10:T145,"欠品")+COUNTIF($T$10:T145,"在庫異常"),"")</f>
        <v/>
      </c>
    </row>
    <row r="146" spans="2:26">
      <c r="B146" s="8" t="str">
        <f>IF(C146="","",COUNTA($C$10:C146))</f>
        <v/>
      </c>
      <c r="C146" s="9"/>
      <c r="D146" s="19"/>
      <c r="E146" s="19"/>
      <c r="F146" s="10"/>
      <c r="G146" s="11"/>
      <c r="H146" s="9"/>
      <c r="I146" s="11"/>
      <c r="J146" s="19"/>
      <c r="K146" s="12"/>
      <c r="L146" s="13" t="str">
        <f>IF(C146="","",SUMIFS(入出庫履歴!$G$10:$G$1009,入出庫履歴!$E$10:$E$1009,C146,入出庫履歴!$D$10:$D$1009,"入庫"))</f>
        <v/>
      </c>
      <c r="M146" s="13" t="str">
        <f>IF(C146="","",SUMIFS(入出庫履歴!$G$10:$G$1009,入出庫履歴!$E$10:$E$1009,C146,入出庫履歴!$D$10:$D$1009,"出庫"))</f>
        <v/>
      </c>
      <c r="N146" s="13" t="str">
        <f>IF(C146="","",SUMIFS(入出庫履歴!$G$10:$G$1009,入出庫履歴!$E$10:$E$1009,C146,入出庫履歴!$D$10:$D$1009,"廃棄"))</f>
        <v/>
      </c>
      <c r="O146" s="14" t="str">
        <f>IF(C146="","",SUMIFS(入出庫履歴!$G$10:$G$1009,入出庫履歴!$E$10:$E$1009,C146,入出庫履歴!$D$10:$D$1009,"棚卸調整"))</f>
        <v/>
      </c>
      <c r="P146" s="13" t="str">
        <f t="shared" si="8"/>
        <v/>
      </c>
      <c r="Q146" s="15" t="str">
        <f t="shared" si="9"/>
        <v/>
      </c>
      <c r="R146" s="16"/>
      <c r="S146" s="16"/>
      <c r="T146" s="17" t="str">
        <f t="shared" si="10"/>
        <v/>
      </c>
      <c r="U146" s="13" t="str">
        <f t="shared" si="11"/>
        <v/>
      </c>
      <c r="V146" s="18" t="str">
        <f>IF(C146="","",IF(_xlfn.MINIFS(入出庫履歴!$K$10:$K$1009,入出庫履歴!$E$10:$E$1009,C146,入出庫履歴!$N$10:$N$1009,"&gt;0")=0,"",_xlfn.MINIFS(入出庫履歴!$K$10:$K$1009,入出庫履歴!$E$10:$E$1009,C146,入出庫履歴!$N$10:$N$1009,"&gt;0")))</f>
        <v/>
      </c>
      <c r="W146" s="17" t="str">
        <f ca="1">IF(OR(V146="",P146&lt;=0),"",IF(V146&lt;TODAY(),"期限切れ",IF(V146-TODAY()&lt;=設定!$C$4,"期限間近","")))</f>
        <v/>
      </c>
      <c r="X146" s="19"/>
      <c r="Y146" s="19"/>
      <c r="Z146" t="str">
        <f>IF(OR(T146="要発注",T146="欠品",T146="在庫異常"),COUNTIF($T$10:T146,"要発注")+COUNTIF($T$10:T146,"欠品")+COUNTIF($T$10:T146,"在庫異常"),"")</f>
        <v/>
      </c>
    </row>
    <row r="147" spans="2:26">
      <c r="B147" s="8" t="str">
        <f>IF(C147="","",COUNTA($C$10:C147))</f>
        <v/>
      </c>
      <c r="C147" s="9"/>
      <c r="D147" s="19"/>
      <c r="E147" s="19"/>
      <c r="F147" s="10"/>
      <c r="G147" s="11"/>
      <c r="H147" s="9"/>
      <c r="I147" s="11"/>
      <c r="J147" s="19"/>
      <c r="K147" s="12"/>
      <c r="L147" s="13" t="str">
        <f>IF(C147="","",SUMIFS(入出庫履歴!$G$10:$G$1009,入出庫履歴!$E$10:$E$1009,C147,入出庫履歴!$D$10:$D$1009,"入庫"))</f>
        <v/>
      </c>
      <c r="M147" s="13" t="str">
        <f>IF(C147="","",SUMIFS(入出庫履歴!$G$10:$G$1009,入出庫履歴!$E$10:$E$1009,C147,入出庫履歴!$D$10:$D$1009,"出庫"))</f>
        <v/>
      </c>
      <c r="N147" s="13" t="str">
        <f>IF(C147="","",SUMIFS(入出庫履歴!$G$10:$G$1009,入出庫履歴!$E$10:$E$1009,C147,入出庫履歴!$D$10:$D$1009,"廃棄"))</f>
        <v/>
      </c>
      <c r="O147" s="14" t="str">
        <f>IF(C147="","",SUMIFS(入出庫履歴!$G$10:$G$1009,入出庫履歴!$E$10:$E$1009,C147,入出庫履歴!$D$10:$D$1009,"棚卸調整"))</f>
        <v/>
      </c>
      <c r="P147" s="13" t="str">
        <f t="shared" si="8"/>
        <v/>
      </c>
      <c r="Q147" s="15" t="str">
        <f t="shared" si="9"/>
        <v/>
      </c>
      <c r="R147" s="16"/>
      <c r="S147" s="16"/>
      <c r="T147" s="17" t="str">
        <f t="shared" si="10"/>
        <v/>
      </c>
      <c r="U147" s="13" t="str">
        <f t="shared" si="11"/>
        <v/>
      </c>
      <c r="V147" s="18" t="str">
        <f>IF(C147="","",IF(_xlfn.MINIFS(入出庫履歴!$K$10:$K$1009,入出庫履歴!$E$10:$E$1009,C147,入出庫履歴!$N$10:$N$1009,"&gt;0")=0,"",_xlfn.MINIFS(入出庫履歴!$K$10:$K$1009,入出庫履歴!$E$10:$E$1009,C147,入出庫履歴!$N$10:$N$1009,"&gt;0")))</f>
        <v/>
      </c>
      <c r="W147" s="17" t="str">
        <f ca="1">IF(OR(V147="",P147&lt;=0),"",IF(V147&lt;TODAY(),"期限切れ",IF(V147-TODAY()&lt;=設定!$C$4,"期限間近","")))</f>
        <v/>
      </c>
      <c r="X147" s="19"/>
      <c r="Y147" s="19"/>
      <c r="Z147" t="str">
        <f>IF(OR(T147="要発注",T147="欠品",T147="在庫異常"),COUNTIF($T$10:T147,"要発注")+COUNTIF($T$10:T147,"欠品")+COUNTIF($T$10:T147,"在庫異常"),"")</f>
        <v/>
      </c>
    </row>
    <row r="148" spans="2:26">
      <c r="B148" s="8" t="str">
        <f>IF(C148="","",COUNTA($C$10:C148))</f>
        <v/>
      </c>
      <c r="C148" s="9"/>
      <c r="D148" s="19"/>
      <c r="E148" s="19"/>
      <c r="F148" s="10"/>
      <c r="G148" s="11"/>
      <c r="H148" s="9"/>
      <c r="I148" s="11"/>
      <c r="J148" s="19"/>
      <c r="K148" s="12"/>
      <c r="L148" s="13" t="str">
        <f>IF(C148="","",SUMIFS(入出庫履歴!$G$10:$G$1009,入出庫履歴!$E$10:$E$1009,C148,入出庫履歴!$D$10:$D$1009,"入庫"))</f>
        <v/>
      </c>
      <c r="M148" s="13" t="str">
        <f>IF(C148="","",SUMIFS(入出庫履歴!$G$10:$G$1009,入出庫履歴!$E$10:$E$1009,C148,入出庫履歴!$D$10:$D$1009,"出庫"))</f>
        <v/>
      </c>
      <c r="N148" s="13" t="str">
        <f>IF(C148="","",SUMIFS(入出庫履歴!$G$10:$G$1009,入出庫履歴!$E$10:$E$1009,C148,入出庫履歴!$D$10:$D$1009,"廃棄"))</f>
        <v/>
      </c>
      <c r="O148" s="14" t="str">
        <f>IF(C148="","",SUMIFS(入出庫履歴!$G$10:$G$1009,入出庫履歴!$E$10:$E$1009,C148,入出庫履歴!$D$10:$D$1009,"棚卸調整"))</f>
        <v/>
      </c>
      <c r="P148" s="13" t="str">
        <f t="shared" si="8"/>
        <v/>
      </c>
      <c r="Q148" s="15" t="str">
        <f t="shared" si="9"/>
        <v/>
      </c>
      <c r="R148" s="16"/>
      <c r="S148" s="16"/>
      <c r="T148" s="17" t="str">
        <f t="shared" si="10"/>
        <v/>
      </c>
      <c r="U148" s="13" t="str">
        <f t="shared" si="11"/>
        <v/>
      </c>
      <c r="V148" s="18" t="str">
        <f>IF(C148="","",IF(_xlfn.MINIFS(入出庫履歴!$K$10:$K$1009,入出庫履歴!$E$10:$E$1009,C148,入出庫履歴!$N$10:$N$1009,"&gt;0")=0,"",_xlfn.MINIFS(入出庫履歴!$K$10:$K$1009,入出庫履歴!$E$10:$E$1009,C148,入出庫履歴!$N$10:$N$1009,"&gt;0")))</f>
        <v/>
      </c>
      <c r="W148" s="17" t="str">
        <f ca="1">IF(OR(V148="",P148&lt;=0),"",IF(V148&lt;TODAY(),"期限切れ",IF(V148-TODAY()&lt;=設定!$C$4,"期限間近","")))</f>
        <v/>
      </c>
      <c r="X148" s="19"/>
      <c r="Y148" s="19"/>
      <c r="Z148" t="str">
        <f>IF(OR(T148="要発注",T148="欠品",T148="在庫異常"),COUNTIF($T$10:T148,"要発注")+COUNTIF($T$10:T148,"欠品")+COUNTIF($T$10:T148,"在庫異常"),"")</f>
        <v/>
      </c>
    </row>
    <row r="149" spans="2:26">
      <c r="B149" s="8" t="str">
        <f>IF(C149="","",COUNTA($C$10:C149))</f>
        <v/>
      </c>
      <c r="C149" s="9"/>
      <c r="D149" s="19"/>
      <c r="E149" s="19"/>
      <c r="F149" s="10"/>
      <c r="G149" s="11"/>
      <c r="H149" s="9"/>
      <c r="I149" s="11"/>
      <c r="J149" s="19"/>
      <c r="K149" s="12"/>
      <c r="L149" s="13" t="str">
        <f>IF(C149="","",SUMIFS(入出庫履歴!$G$10:$G$1009,入出庫履歴!$E$10:$E$1009,C149,入出庫履歴!$D$10:$D$1009,"入庫"))</f>
        <v/>
      </c>
      <c r="M149" s="13" t="str">
        <f>IF(C149="","",SUMIFS(入出庫履歴!$G$10:$G$1009,入出庫履歴!$E$10:$E$1009,C149,入出庫履歴!$D$10:$D$1009,"出庫"))</f>
        <v/>
      </c>
      <c r="N149" s="13" t="str">
        <f>IF(C149="","",SUMIFS(入出庫履歴!$G$10:$G$1009,入出庫履歴!$E$10:$E$1009,C149,入出庫履歴!$D$10:$D$1009,"廃棄"))</f>
        <v/>
      </c>
      <c r="O149" s="14" t="str">
        <f>IF(C149="","",SUMIFS(入出庫履歴!$G$10:$G$1009,入出庫履歴!$E$10:$E$1009,C149,入出庫履歴!$D$10:$D$1009,"棚卸調整"))</f>
        <v/>
      </c>
      <c r="P149" s="13" t="str">
        <f t="shared" si="8"/>
        <v/>
      </c>
      <c r="Q149" s="15" t="str">
        <f t="shared" si="9"/>
        <v/>
      </c>
      <c r="R149" s="16"/>
      <c r="S149" s="16"/>
      <c r="T149" s="17" t="str">
        <f t="shared" si="10"/>
        <v/>
      </c>
      <c r="U149" s="13" t="str">
        <f t="shared" si="11"/>
        <v/>
      </c>
      <c r="V149" s="18" t="str">
        <f>IF(C149="","",IF(_xlfn.MINIFS(入出庫履歴!$K$10:$K$1009,入出庫履歴!$E$10:$E$1009,C149,入出庫履歴!$N$10:$N$1009,"&gt;0")=0,"",_xlfn.MINIFS(入出庫履歴!$K$10:$K$1009,入出庫履歴!$E$10:$E$1009,C149,入出庫履歴!$N$10:$N$1009,"&gt;0")))</f>
        <v/>
      </c>
      <c r="W149" s="17" t="str">
        <f ca="1">IF(OR(V149="",P149&lt;=0),"",IF(V149&lt;TODAY(),"期限切れ",IF(V149-TODAY()&lt;=設定!$C$4,"期限間近","")))</f>
        <v/>
      </c>
      <c r="X149" s="19"/>
      <c r="Y149" s="19"/>
      <c r="Z149" t="str">
        <f>IF(OR(T149="要発注",T149="欠品",T149="在庫異常"),COUNTIF($T$10:T149,"要発注")+COUNTIF($T$10:T149,"欠品")+COUNTIF($T$10:T149,"在庫異常"),"")</f>
        <v/>
      </c>
    </row>
    <row r="150" spans="2:26">
      <c r="B150" s="8" t="str">
        <f>IF(C150="","",COUNTA($C$10:C150))</f>
        <v/>
      </c>
      <c r="C150" s="9"/>
      <c r="D150" s="19"/>
      <c r="E150" s="19"/>
      <c r="F150" s="10"/>
      <c r="G150" s="11"/>
      <c r="H150" s="9"/>
      <c r="I150" s="11"/>
      <c r="J150" s="19"/>
      <c r="K150" s="12"/>
      <c r="L150" s="13" t="str">
        <f>IF(C150="","",SUMIFS(入出庫履歴!$G$10:$G$1009,入出庫履歴!$E$10:$E$1009,C150,入出庫履歴!$D$10:$D$1009,"入庫"))</f>
        <v/>
      </c>
      <c r="M150" s="13" t="str">
        <f>IF(C150="","",SUMIFS(入出庫履歴!$G$10:$G$1009,入出庫履歴!$E$10:$E$1009,C150,入出庫履歴!$D$10:$D$1009,"出庫"))</f>
        <v/>
      </c>
      <c r="N150" s="13" t="str">
        <f>IF(C150="","",SUMIFS(入出庫履歴!$G$10:$G$1009,入出庫履歴!$E$10:$E$1009,C150,入出庫履歴!$D$10:$D$1009,"廃棄"))</f>
        <v/>
      </c>
      <c r="O150" s="14" t="str">
        <f>IF(C150="","",SUMIFS(入出庫履歴!$G$10:$G$1009,入出庫履歴!$E$10:$E$1009,C150,入出庫履歴!$D$10:$D$1009,"棚卸調整"))</f>
        <v/>
      </c>
      <c r="P150" s="13" t="str">
        <f t="shared" si="8"/>
        <v/>
      </c>
      <c r="Q150" s="15" t="str">
        <f t="shared" si="9"/>
        <v/>
      </c>
      <c r="R150" s="16"/>
      <c r="S150" s="16"/>
      <c r="T150" s="17" t="str">
        <f t="shared" si="10"/>
        <v/>
      </c>
      <c r="U150" s="13" t="str">
        <f t="shared" si="11"/>
        <v/>
      </c>
      <c r="V150" s="18" t="str">
        <f>IF(C150="","",IF(_xlfn.MINIFS(入出庫履歴!$K$10:$K$1009,入出庫履歴!$E$10:$E$1009,C150,入出庫履歴!$N$10:$N$1009,"&gt;0")=0,"",_xlfn.MINIFS(入出庫履歴!$K$10:$K$1009,入出庫履歴!$E$10:$E$1009,C150,入出庫履歴!$N$10:$N$1009,"&gt;0")))</f>
        <v/>
      </c>
      <c r="W150" s="17" t="str">
        <f ca="1">IF(OR(V150="",P150&lt;=0),"",IF(V150&lt;TODAY(),"期限切れ",IF(V150-TODAY()&lt;=設定!$C$4,"期限間近","")))</f>
        <v/>
      </c>
      <c r="X150" s="19"/>
      <c r="Y150" s="19"/>
      <c r="Z150" t="str">
        <f>IF(OR(T150="要発注",T150="欠品",T150="在庫異常"),COUNTIF($T$10:T150,"要発注")+COUNTIF($T$10:T150,"欠品")+COUNTIF($T$10:T150,"在庫異常"),"")</f>
        <v/>
      </c>
    </row>
    <row r="151" spans="2:26">
      <c r="B151" s="8" t="str">
        <f>IF(C151="","",COUNTA($C$10:C151))</f>
        <v/>
      </c>
      <c r="C151" s="9"/>
      <c r="D151" s="19"/>
      <c r="E151" s="19"/>
      <c r="F151" s="10"/>
      <c r="G151" s="11"/>
      <c r="H151" s="9"/>
      <c r="I151" s="11"/>
      <c r="J151" s="19"/>
      <c r="K151" s="12"/>
      <c r="L151" s="13" t="str">
        <f>IF(C151="","",SUMIFS(入出庫履歴!$G$10:$G$1009,入出庫履歴!$E$10:$E$1009,C151,入出庫履歴!$D$10:$D$1009,"入庫"))</f>
        <v/>
      </c>
      <c r="M151" s="13" t="str">
        <f>IF(C151="","",SUMIFS(入出庫履歴!$G$10:$G$1009,入出庫履歴!$E$10:$E$1009,C151,入出庫履歴!$D$10:$D$1009,"出庫"))</f>
        <v/>
      </c>
      <c r="N151" s="13" t="str">
        <f>IF(C151="","",SUMIFS(入出庫履歴!$G$10:$G$1009,入出庫履歴!$E$10:$E$1009,C151,入出庫履歴!$D$10:$D$1009,"廃棄"))</f>
        <v/>
      </c>
      <c r="O151" s="14" t="str">
        <f>IF(C151="","",SUMIFS(入出庫履歴!$G$10:$G$1009,入出庫履歴!$E$10:$E$1009,C151,入出庫履歴!$D$10:$D$1009,"棚卸調整"))</f>
        <v/>
      </c>
      <c r="P151" s="13" t="str">
        <f t="shared" si="8"/>
        <v/>
      </c>
      <c r="Q151" s="15" t="str">
        <f t="shared" si="9"/>
        <v/>
      </c>
      <c r="R151" s="16"/>
      <c r="S151" s="16"/>
      <c r="T151" s="17" t="str">
        <f t="shared" si="10"/>
        <v/>
      </c>
      <c r="U151" s="13" t="str">
        <f t="shared" si="11"/>
        <v/>
      </c>
      <c r="V151" s="18" t="str">
        <f>IF(C151="","",IF(_xlfn.MINIFS(入出庫履歴!$K$10:$K$1009,入出庫履歴!$E$10:$E$1009,C151,入出庫履歴!$N$10:$N$1009,"&gt;0")=0,"",_xlfn.MINIFS(入出庫履歴!$K$10:$K$1009,入出庫履歴!$E$10:$E$1009,C151,入出庫履歴!$N$10:$N$1009,"&gt;0")))</f>
        <v/>
      </c>
      <c r="W151" s="17" t="str">
        <f ca="1">IF(OR(V151="",P151&lt;=0),"",IF(V151&lt;TODAY(),"期限切れ",IF(V151-TODAY()&lt;=設定!$C$4,"期限間近","")))</f>
        <v/>
      </c>
      <c r="X151" s="19"/>
      <c r="Y151" s="19"/>
      <c r="Z151" t="str">
        <f>IF(OR(T151="要発注",T151="欠品",T151="在庫異常"),COUNTIF($T$10:T151,"要発注")+COUNTIF($T$10:T151,"欠品")+COUNTIF($T$10:T151,"在庫異常"),"")</f>
        <v/>
      </c>
    </row>
    <row r="152" spans="2:26">
      <c r="B152" s="8" t="str">
        <f>IF(C152="","",COUNTA($C$10:C152))</f>
        <v/>
      </c>
      <c r="C152" s="9"/>
      <c r="D152" s="19"/>
      <c r="E152" s="19"/>
      <c r="F152" s="10"/>
      <c r="G152" s="11"/>
      <c r="H152" s="9"/>
      <c r="I152" s="11"/>
      <c r="J152" s="19"/>
      <c r="K152" s="12"/>
      <c r="L152" s="13" t="str">
        <f>IF(C152="","",SUMIFS(入出庫履歴!$G$10:$G$1009,入出庫履歴!$E$10:$E$1009,C152,入出庫履歴!$D$10:$D$1009,"入庫"))</f>
        <v/>
      </c>
      <c r="M152" s="13" t="str">
        <f>IF(C152="","",SUMIFS(入出庫履歴!$G$10:$G$1009,入出庫履歴!$E$10:$E$1009,C152,入出庫履歴!$D$10:$D$1009,"出庫"))</f>
        <v/>
      </c>
      <c r="N152" s="13" t="str">
        <f>IF(C152="","",SUMIFS(入出庫履歴!$G$10:$G$1009,入出庫履歴!$E$10:$E$1009,C152,入出庫履歴!$D$10:$D$1009,"廃棄"))</f>
        <v/>
      </c>
      <c r="O152" s="14" t="str">
        <f>IF(C152="","",SUMIFS(入出庫履歴!$G$10:$G$1009,入出庫履歴!$E$10:$E$1009,C152,入出庫履歴!$D$10:$D$1009,"棚卸調整"))</f>
        <v/>
      </c>
      <c r="P152" s="13" t="str">
        <f t="shared" si="8"/>
        <v/>
      </c>
      <c r="Q152" s="15" t="str">
        <f t="shared" si="9"/>
        <v/>
      </c>
      <c r="R152" s="16"/>
      <c r="S152" s="16"/>
      <c r="T152" s="17" t="str">
        <f t="shared" si="10"/>
        <v/>
      </c>
      <c r="U152" s="13" t="str">
        <f t="shared" si="11"/>
        <v/>
      </c>
      <c r="V152" s="18" t="str">
        <f>IF(C152="","",IF(_xlfn.MINIFS(入出庫履歴!$K$10:$K$1009,入出庫履歴!$E$10:$E$1009,C152,入出庫履歴!$N$10:$N$1009,"&gt;0")=0,"",_xlfn.MINIFS(入出庫履歴!$K$10:$K$1009,入出庫履歴!$E$10:$E$1009,C152,入出庫履歴!$N$10:$N$1009,"&gt;0")))</f>
        <v/>
      </c>
      <c r="W152" s="17" t="str">
        <f ca="1">IF(OR(V152="",P152&lt;=0),"",IF(V152&lt;TODAY(),"期限切れ",IF(V152-TODAY()&lt;=設定!$C$4,"期限間近","")))</f>
        <v/>
      </c>
      <c r="X152" s="19"/>
      <c r="Y152" s="19"/>
      <c r="Z152" t="str">
        <f>IF(OR(T152="要発注",T152="欠品",T152="在庫異常"),COUNTIF($T$10:T152,"要発注")+COUNTIF($T$10:T152,"欠品")+COUNTIF($T$10:T152,"在庫異常"),"")</f>
        <v/>
      </c>
    </row>
    <row r="153" spans="2:26">
      <c r="B153" s="8" t="str">
        <f>IF(C153="","",COUNTA($C$10:C153))</f>
        <v/>
      </c>
      <c r="C153" s="9"/>
      <c r="D153" s="19"/>
      <c r="E153" s="19"/>
      <c r="F153" s="10"/>
      <c r="G153" s="11"/>
      <c r="H153" s="9"/>
      <c r="I153" s="11"/>
      <c r="J153" s="19"/>
      <c r="K153" s="12"/>
      <c r="L153" s="13" t="str">
        <f>IF(C153="","",SUMIFS(入出庫履歴!$G$10:$G$1009,入出庫履歴!$E$10:$E$1009,C153,入出庫履歴!$D$10:$D$1009,"入庫"))</f>
        <v/>
      </c>
      <c r="M153" s="13" t="str">
        <f>IF(C153="","",SUMIFS(入出庫履歴!$G$10:$G$1009,入出庫履歴!$E$10:$E$1009,C153,入出庫履歴!$D$10:$D$1009,"出庫"))</f>
        <v/>
      </c>
      <c r="N153" s="13" t="str">
        <f>IF(C153="","",SUMIFS(入出庫履歴!$G$10:$G$1009,入出庫履歴!$E$10:$E$1009,C153,入出庫履歴!$D$10:$D$1009,"廃棄"))</f>
        <v/>
      </c>
      <c r="O153" s="14" t="str">
        <f>IF(C153="","",SUMIFS(入出庫履歴!$G$10:$G$1009,入出庫履歴!$E$10:$E$1009,C153,入出庫履歴!$D$10:$D$1009,"棚卸調整"))</f>
        <v/>
      </c>
      <c r="P153" s="13" t="str">
        <f t="shared" si="8"/>
        <v/>
      </c>
      <c r="Q153" s="15" t="str">
        <f t="shared" si="9"/>
        <v/>
      </c>
      <c r="R153" s="16"/>
      <c r="S153" s="16"/>
      <c r="T153" s="17" t="str">
        <f t="shared" si="10"/>
        <v/>
      </c>
      <c r="U153" s="13" t="str">
        <f t="shared" si="11"/>
        <v/>
      </c>
      <c r="V153" s="18" t="str">
        <f>IF(C153="","",IF(_xlfn.MINIFS(入出庫履歴!$K$10:$K$1009,入出庫履歴!$E$10:$E$1009,C153,入出庫履歴!$N$10:$N$1009,"&gt;0")=0,"",_xlfn.MINIFS(入出庫履歴!$K$10:$K$1009,入出庫履歴!$E$10:$E$1009,C153,入出庫履歴!$N$10:$N$1009,"&gt;0")))</f>
        <v/>
      </c>
      <c r="W153" s="17" t="str">
        <f ca="1">IF(OR(V153="",P153&lt;=0),"",IF(V153&lt;TODAY(),"期限切れ",IF(V153-TODAY()&lt;=設定!$C$4,"期限間近","")))</f>
        <v/>
      </c>
      <c r="X153" s="19"/>
      <c r="Y153" s="19"/>
      <c r="Z153" t="str">
        <f>IF(OR(T153="要発注",T153="欠品",T153="在庫異常"),COUNTIF($T$10:T153,"要発注")+COUNTIF($T$10:T153,"欠品")+COUNTIF($T$10:T153,"在庫異常"),"")</f>
        <v/>
      </c>
    </row>
    <row r="154" spans="2:26">
      <c r="B154" s="8" t="str">
        <f>IF(C154="","",COUNTA($C$10:C154))</f>
        <v/>
      </c>
      <c r="C154" s="9"/>
      <c r="D154" s="19"/>
      <c r="E154" s="19"/>
      <c r="F154" s="10"/>
      <c r="G154" s="11"/>
      <c r="H154" s="9"/>
      <c r="I154" s="11"/>
      <c r="J154" s="19"/>
      <c r="K154" s="12"/>
      <c r="L154" s="13" t="str">
        <f>IF(C154="","",SUMIFS(入出庫履歴!$G$10:$G$1009,入出庫履歴!$E$10:$E$1009,C154,入出庫履歴!$D$10:$D$1009,"入庫"))</f>
        <v/>
      </c>
      <c r="M154" s="13" t="str">
        <f>IF(C154="","",SUMIFS(入出庫履歴!$G$10:$G$1009,入出庫履歴!$E$10:$E$1009,C154,入出庫履歴!$D$10:$D$1009,"出庫"))</f>
        <v/>
      </c>
      <c r="N154" s="13" t="str">
        <f>IF(C154="","",SUMIFS(入出庫履歴!$G$10:$G$1009,入出庫履歴!$E$10:$E$1009,C154,入出庫履歴!$D$10:$D$1009,"廃棄"))</f>
        <v/>
      </c>
      <c r="O154" s="14" t="str">
        <f>IF(C154="","",SUMIFS(入出庫履歴!$G$10:$G$1009,入出庫履歴!$E$10:$E$1009,C154,入出庫履歴!$D$10:$D$1009,"棚卸調整"))</f>
        <v/>
      </c>
      <c r="P154" s="13" t="str">
        <f t="shared" si="8"/>
        <v/>
      </c>
      <c r="Q154" s="15" t="str">
        <f t="shared" si="9"/>
        <v/>
      </c>
      <c r="R154" s="16"/>
      <c r="S154" s="16"/>
      <c r="T154" s="17" t="str">
        <f t="shared" si="10"/>
        <v/>
      </c>
      <c r="U154" s="13" t="str">
        <f t="shared" si="11"/>
        <v/>
      </c>
      <c r="V154" s="18" t="str">
        <f>IF(C154="","",IF(_xlfn.MINIFS(入出庫履歴!$K$10:$K$1009,入出庫履歴!$E$10:$E$1009,C154,入出庫履歴!$N$10:$N$1009,"&gt;0")=0,"",_xlfn.MINIFS(入出庫履歴!$K$10:$K$1009,入出庫履歴!$E$10:$E$1009,C154,入出庫履歴!$N$10:$N$1009,"&gt;0")))</f>
        <v/>
      </c>
      <c r="W154" s="17" t="str">
        <f ca="1">IF(OR(V154="",P154&lt;=0),"",IF(V154&lt;TODAY(),"期限切れ",IF(V154-TODAY()&lt;=設定!$C$4,"期限間近","")))</f>
        <v/>
      </c>
      <c r="X154" s="19"/>
      <c r="Y154" s="19"/>
      <c r="Z154" t="str">
        <f>IF(OR(T154="要発注",T154="欠品",T154="在庫異常"),COUNTIF($T$10:T154,"要発注")+COUNTIF($T$10:T154,"欠品")+COUNTIF($T$10:T154,"在庫異常"),"")</f>
        <v/>
      </c>
    </row>
    <row r="155" spans="2:26">
      <c r="B155" s="8" t="str">
        <f>IF(C155="","",COUNTA($C$10:C155))</f>
        <v/>
      </c>
      <c r="C155" s="9"/>
      <c r="D155" s="19"/>
      <c r="E155" s="19"/>
      <c r="F155" s="10"/>
      <c r="G155" s="11"/>
      <c r="H155" s="9"/>
      <c r="I155" s="11"/>
      <c r="J155" s="19"/>
      <c r="K155" s="12"/>
      <c r="L155" s="13" t="str">
        <f>IF(C155="","",SUMIFS(入出庫履歴!$G$10:$G$1009,入出庫履歴!$E$10:$E$1009,C155,入出庫履歴!$D$10:$D$1009,"入庫"))</f>
        <v/>
      </c>
      <c r="M155" s="13" t="str">
        <f>IF(C155="","",SUMIFS(入出庫履歴!$G$10:$G$1009,入出庫履歴!$E$10:$E$1009,C155,入出庫履歴!$D$10:$D$1009,"出庫"))</f>
        <v/>
      </c>
      <c r="N155" s="13" t="str">
        <f>IF(C155="","",SUMIFS(入出庫履歴!$G$10:$G$1009,入出庫履歴!$E$10:$E$1009,C155,入出庫履歴!$D$10:$D$1009,"廃棄"))</f>
        <v/>
      </c>
      <c r="O155" s="14" t="str">
        <f>IF(C155="","",SUMIFS(入出庫履歴!$G$10:$G$1009,入出庫履歴!$E$10:$E$1009,C155,入出庫履歴!$D$10:$D$1009,"棚卸調整"))</f>
        <v/>
      </c>
      <c r="P155" s="13" t="str">
        <f t="shared" si="8"/>
        <v/>
      </c>
      <c r="Q155" s="15" t="str">
        <f t="shared" si="9"/>
        <v/>
      </c>
      <c r="R155" s="16"/>
      <c r="S155" s="16"/>
      <c r="T155" s="17" t="str">
        <f t="shared" si="10"/>
        <v/>
      </c>
      <c r="U155" s="13" t="str">
        <f t="shared" si="11"/>
        <v/>
      </c>
      <c r="V155" s="18" t="str">
        <f>IF(C155="","",IF(_xlfn.MINIFS(入出庫履歴!$K$10:$K$1009,入出庫履歴!$E$10:$E$1009,C155,入出庫履歴!$N$10:$N$1009,"&gt;0")=0,"",_xlfn.MINIFS(入出庫履歴!$K$10:$K$1009,入出庫履歴!$E$10:$E$1009,C155,入出庫履歴!$N$10:$N$1009,"&gt;0")))</f>
        <v/>
      </c>
      <c r="W155" s="17" t="str">
        <f ca="1">IF(OR(V155="",P155&lt;=0),"",IF(V155&lt;TODAY(),"期限切れ",IF(V155-TODAY()&lt;=設定!$C$4,"期限間近","")))</f>
        <v/>
      </c>
      <c r="X155" s="19"/>
      <c r="Y155" s="19"/>
      <c r="Z155" t="str">
        <f>IF(OR(T155="要発注",T155="欠品",T155="在庫異常"),COUNTIF($T$10:T155,"要発注")+COUNTIF($T$10:T155,"欠品")+COUNTIF($T$10:T155,"在庫異常"),"")</f>
        <v/>
      </c>
    </row>
    <row r="156" spans="2:26">
      <c r="B156" s="8" t="str">
        <f>IF(C156="","",COUNTA($C$10:C156))</f>
        <v/>
      </c>
      <c r="C156" s="9"/>
      <c r="D156" s="19"/>
      <c r="E156" s="19"/>
      <c r="F156" s="10"/>
      <c r="G156" s="11"/>
      <c r="H156" s="9"/>
      <c r="I156" s="11"/>
      <c r="J156" s="19"/>
      <c r="K156" s="12"/>
      <c r="L156" s="13" t="str">
        <f>IF(C156="","",SUMIFS(入出庫履歴!$G$10:$G$1009,入出庫履歴!$E$10:$E$1009,C156,入出庫履歴!$D$10:$D$1009,"入庫"))</f>
        <v/>
      </c>
      <c r="M156" s="13" t="str">
        <f>IF(C156="","",SUMIFS(入出庫履歴!$G$10:$G$1009,入出庫履歴!$E$10:$E$1009,C156,入出庫履歴!$D$10:$D$1009,"出庫"))</f>
        <v/>
      </c>
      <c r="N156" s="13" t="str">
        <f>IF(C156="","",SUMIFS(入出庫履歴!$G$10:$G$1009,入出庫履歴!$E$10:$E$1009,C156,入出庫履歴!$D$10:$D$1009,"廃棄"))</f>
        <v/>
      </c>
      <c r="O156" s="14" t="str">
        <f>IF(C156="","",SUMIFS(入出庫履歴!$G$10:$G$1009,入出庫履歴!$E$10:$E$1009,C156,入出庫履歴!$D$10:$D$1009,"棚卸調整"))</f>
        <v/>
      </c>
      <c r="P156" s="13" t="str">
        <f t="shared" si="8"/>
        <v/>
      </c>
      <c r="Q156" s="15" t="str">
        <f t="shared" si="9"/>
        <v/>
      </c>
      <c r="R156" s="16"/>
      <c r="S156" s="16"/>
      <c r="T156" s="17" t="str">
        <f t="shared" si="10"/>
        <v/>
      </c>
      <c r="U156" s="13" t="str">
        <f t="shared" si="11"/>
        <v/>
      </c>
      <c r="V156" s="18" t="str">
        <f>IF(C156="","",IF(_xlfn.MINIFS(入出庫履歴!$K$10:$K$1009,入出庫履歴!$E$10:$E$1009,C156,入出庫履歴!$N$10:$N$1009,"&gt;0")=0,"",_xlfn.MINIFS(入出庫履歴!$K$10:$K$1009,入出庫履歴!$E$10:$E$1009,C156,入出庫履歴!$N$10:$N$1009,"&gt;0")))</f>
        <v/>
      </c>
      <c r="W156" s="17" t="str">
        <f ca="1">IF(OR(V156="",P156&lt;=0),"",IF(V156&lt;TODAY(),"期限切れ",IF(V156-TODAY()&lt;=設定!$C$4,"期限間近","")))</f>
        <v/>
      </c>
      <c r="X156" s="19"/>
      <c r="Y156" s="19"/>
      <c r="Z156" t="str">
        <f>IF(OR(T156="要発注",T156="欠品",T156="在庫異常"),COUNTIF($T$10:T156,"要発注")+COUNTIF($T$10:T156,"欠品")+COUNTIF($T$10:T156,"在庫異常"),"")</f>
        <v/>
      </c>
    </row>
    <row r="157" spans="2:26">
      <c r="B157" s="8" t="str">
        <f>IF(C157="","",COUNTA($C$10:C157))</f>
        <v/>
      </c>
      <c r="C157" s="9"/>
      <c r="D157" s="19"/>
      <c r="E157" s="19"/>
      <c r="F157" s="10"/>
      <c r="G157" s="11"/>
      <c r="H157" s="9"/>
      <c r="I157" s="11"/>
      <c r="J157" s="19"/>
      <c r="K157" s="12"/>
      <c r="L157" s="13" t="str">
        <f>IF(C157="","",SUMIFS(入出庫履歴!$G$10:$G$1009,入出庫履歴!$E$10:$E$1009,C157,入出庫履歴!$D$10:$D$1009,"入庫"))</f>
        <v/>
      </c>
      <c r="M157" s="13" t="str">
        <f>IF(C157="","",SUMIFS(入出庫履歴!$G$10:$G$1009,入出庫履歴!$E$10:$E$1009,C157,入出庫履歴!$D$10:$D$1009,"出庫"))</f>
        <v/>
      </c>
      <c r="N157" s="13" t="str">
        <f>IF(C157="","",SUMIFS(入出庫履歴!$G$10:$G$1009,入出庫履歴!$E$10:$E$1009,C157,入出庫履歴!$D$10:$D$1009,"廃棄"))</f>
        <v/>
      </c>
      <c r="O157" s="14" t="str">
        <f>IF(C157="","",SUMIFS(入出庫履歴!$G$10:$G$1009,入出庫履歴!$E$10:$E$1009,C157,入出庫履歴!$D$10:$D$1009,"棚卸調整"))</f>
        <v/>
      </c>
      <c r="P157" s="13" t="str">
        <f t="shared" si="8"/>
        <v/>
      </c>
      <c r="Q157" s="15" t="str">
        <f t="shared" si="9"/>
        <v/>
      </c>
      <c r="R157" s="16"/>
      <c r="S157" s="16"/>
      <c r="T157" s="17" t="str">
        <f t="shared" si="10"/>
        <v/>
      </c>
      <c r="U157" s="13" t="str">
        <f t="shared" si="11"/>
        <v/>
      </c>
      <c r="V157" s="18" t="str">
        <f>IF(C157="","",IF(_xlfn.MINIFS(入出庫履歴!$K$10:$K$1009,入出庫履歴!$E$10:$E$1009,C157,入出庫履歴!$N$10:$N$1009,"&gt;0")=0,"",_xlfn.MINIFS(入出庫履歴!$K$10:$K$1009,入出庫履歴!$E$10:$E$1009,C157,入出庫履歴!$N$10:$N$1009,"&gt;0")))</f>
        <v/>
      </c>
      <c r="W157" s="17" t="str">
        <f ca="1">IF(OR(V157="",P157&lt;=0),"",IF(V157&lt;TODAY(),"期限切れ",IF(V157-TODAY()&lt;=設定!$C$4,"期限間近","")))</f>
        <v/>
      </c>
      <c r="X157" s="19"/>
      <c r="Y157" s="19"/>
      <c r="Z157" t="str">
        <f>IF(OR(T157="要発注",T157="欠品",T157="在庫異常"),COUNTIF($T$10:T157,"要発注")+COUNTIF($T$10:T157,"欠品")+COUNTIF($T$10:T157,"在庫異常"),"")</f>
        <v/>
      </c>
    </row>
    <row r="158" spans="2:26">
      <c r="B158" s="8" t="str">
        <f>IF(C158="","",COUNTA($C$10:C158))</f>
        <v/>
      </c>
      <c r="C158" s="9"/>
      <c r="D158" s="19"/>
      <c r="E158" s="19"/>
      <c r="F158" s="10"/>
      <c r="G158" s="11"/>
      <c r="H158" s="9"/>
      <c r="I158" s="11"/>
      <c r="J158" s="19"/>
      <c r="K158" s="12"/>
      <c r="L158" s="13" t="str">
        <f>IF(C158="","",SUMIFS(入出庫履歴!$G$10:$G$1009,入出庫履歴!$E$10:$E$1009,C158,入出庫履歴!$D$10:$D$1009,"入庫"))</f>
        <v/>
      </c>
      <c r="M158" s="13" t="str">
        <f>IF(C158="","",SUMIFS(入出庫履歴!$G$10:$G$1009,入出庫履歴!$E$10:$E$1009,C158,入出庫履歴!$D$10:$D$1009,"出庫"))</f>
        <v/>
      </c>
      <c r="N158" s="13" t="str">
        <f>IF(C158="","",SUMIFS(入出庫履歴!$G$10:$G$1009,入出庫履歴!$E$10:$E$1009,C158,入出庫履歴!$D$10:$D$1009,"廃棄"))</f>
        <v/>
      </c>
      <c r="O158" s="14" t="str">
        <f>IF(C158="","",SUMIFS(入出庫履歴!$G$10:$G$1009,入出庫履歴!$E$10:$E$1009,C158,入出庫履歴!$D$10:$D$1009,"棚卸調整"))</f>
        <v/>
      </c>
      <c r="P158" s="13" t="str">
        <f t="shared" si="8"/>
        <v/>
      </c>
      <c r="Q158" s="15" t="str">
        <f t="shared" si="9"/>
        <v/>
      </c>
      <c r="R158" s="16"/>
      <c r="S158" s="16"/>
      <c r="T158" s="17" t="str">
        <f t="shared" si="10"/>
        <v/>
      </c>
      <c r="U158" s="13" t="str">
        <f t="shared" si="11"/>
        <v/>
      </c>
      <c r="V158" s="18" t="str">
        <f>IF(C158="","",IF(_xlfn.MINIFS(入出庫履歴!$K$10:$K$1009,入出庫履歴!$E$10:$E$1009,C158,入出庫履歴!$N$10:$N$1009,"&gt;0")=0,"",_xlfn.MINIFS(入出庫履歴!$K$10:$K$1009,入出庫履歴!$E$10:$E$1009,C158,入出庫履歴!$N$10:$N$1009,"&gt;0")))</f>
        <v/>
      </c>
      <c r="W158" s="17" t="str">
        <f ca="1">IF(OR(V158="",P158&lt;=0),"",IF(V158&lt;TODAY(),"期限切れ",IF(V158-TODAY()&lt;=設定!$C$4,"期限間近","")))</f>
        <v/>
      </c>
      <c r="X158" s="19"/>
      <c r="Y158" s="19"/>
      <c r="Z158" t="str">
        <f>IF(OR(T158="要発注",T158="欠品",T158="在庫異常"),COUNTIF($T$10:T158,"要発注")+COUNTIF($T$10:T158,"欠品")+COUNTIF($T$10:T158,"在庫異常"),"")</f>
        <v/>
      </c>
    </row>
    <row r="159" spans="2:26">
      <c r="B159" s="8" t="str">
        <f>IF(C159="","",COUNTA($C$10:C159))</f>
        <v/>
      </c>
      <c r="C159" s="9"/>
      <c r="D159" s="19"/>
      <c r="E159" s="19"/>
      <c r="F159" s="10"/>
      <c r="G159" s="11"/>
      <c r="H159" s="9"/>
      <c r="I159" s="11"/>
      <c r="J159" s="19"/>
      <c r="K159" s="12"/>
      <c r="L159" s="13" t="str">
        <f>IF(C159="","",SUMIFS(入出庫履歴!$G$10:$G$1009,入出庫履歴!$E$10:$E$1009,C159,入出庫履歴!$D$10:$D$1009,"入庫"))</f>
        <v/>
      </c>
      <c r="M159" s="13" t="str">
        <f>IF(C159="","",SUMIFS(入出庫履歴!$G$10:$G$1009,入出庫履歴!$E$10:$E$1009,C159,入出庫履歴!$D$10:$D$1009,"出庫"))</f>
        <v/>
      </c>
      <c r="N159" s="13" t="str">
        <f>IF(C159="","",SUMIFS(入出庫履歴!$G$10:$G$1009,入出庫履歴!$E$10:$E$1009,C159,入出庫履歴!$D$10:$D$1009,"廃棄"))</f>
        <v/>
      </c>
      <c r="O159" s="14" t="str">
        <f>IF(C159="","",SUMIFS(入出庫履歴!$G$10:$G$1009,入出庫履歴!$E$10:$E$1009,C159,入出庫履歴!$D$10:$D$1009,"棚卸調整"))</f>
        <v/>
      </c>
      <c r="P159" s="13" t="str">
        <f t="shared" si="8"/>
        <v/>
      </c>
      <c r="Q159" s="15" t="str">
        <f t="shared" si="9"/>
        <v/>
      </c>
      <c r="R159" s="16"/>
      <c r="S159" s="16"/>
      <c r="T159" s="17" t="str">
        <f t="shared" si="10"/>
        <v/>
      </c>
      <c r="U159" s="13" t="str">
        <f t="shared" si="11"/>
        <v/>
      </c>
      <c r="V159" s="18" t="str">
        <f>IF(C159="","",IF(_xlfn.MINIFS(入出庫履歴!$K$10:$K$1009,入出庫履歴!$E$10:$E$1009,C159,入出庫履歴!$N$10:$N$1009,"&gt;0")=0,"",_xlfn.MINIFS(入出庫履歴!$K$10:$K$1009,入出庫履歴!$E$10:$E$1009,C159,入出庫履歴!$N$10:$N$1009,"&gt;0")))</f>
        <v/>
      </c>
      <c r="W159" s="17" t="str">
        <f ca="1">IF(OR(V159="",P159&lt;=0),"",IF(V159&lt;TODAY(),"期限切れ",IF(V159-TODAY()&lt;=設定!$C$4,"期限間近","")))</f>
        <v/>
      </c>
      <c r="X159" s="19"/>
      <c r="Y159" s="19"/>
      <c r="Z159" t="str">
        <f>IF(OR(T159="要発注",T159="欠品",T159="在庫異常"),COUNTIF($T$10:T159,"要発注")+COUNTIF($T$10:T159,"欠品")+COUNTIF($T$10:T159,"在庫異常"),"")</f>
        <v/>
      </c>
    </row>
    <row r="160" spans="2:26">
      <c r="B160" s="8" t="str">
        <f>IF(C160="","",COUNTA($C$10:C160))</f>
        <v/>
      </c>
      <c r="C160" s="9"/>
      <c r="D160" s="19"/>
      <c r="E160" s="19"/>
      <c r="F160" s="10"/>
      <c r="G160" s="11"/>
      <c r="H160" s="9"/>
      <c r="I160" s="11"/>
      <c r="J160" s="19"/>
      <c r="K160" s="12"/>
      <c r="L160" s="13" t="str">
        <f>IF(C160="","",SUMIFS(入出庫履歴!$G$10:$G$1009,入出庫履歴!$E$10:$E$1009,C160,入出庫履歴!$D$10:$D$1009,"入庫"))</f>
        <v/>
      </c>
      <c r="M160" s="13" t="str">
        <f>IF(C160="","",SUMIFS(入出庫履歴!$G$10:$G$1009,入出庫履歴!$E$10:$E$1009,C160,入出庫履歴!$D$10:$D$1009,"出庫"))</f>
        <v/>
      </c>
      <c r="N160" s="13" t="str">
        <f>IF(C160="","",SUMIFS(入出庫履歴!$G$10:$G$1009,入出庫履歴!$E$10:$E$1009,C160,入出庫履歴!$D$10:$D$1009,"廃棄"))</f>
        <v/>
      </c>
      <c r="O160" s="14" t="str">
        <f>IF(C160="","",SUMIFS(入出庫履歴!$G$10:$G$1009,入出庫履歴!$E$10:$E$1009,C160,入出庫履歴!$D$10:$D$1009,"棚卸調整"))</f>
        <v/>
      </c>
      <c r="P160" s="13" t="str">
        <f t="shared" si="8"/>
        <v/>
      </c>
      <c r="Q160" s="15" t="str">
        <f t="shared" si="9"/>
        <v/>
      </c>
      <c r="R160" s="16"/>
      <c r="S160" s="16"/>
      <c r="T160" s="17" t="str">
        <f t="shared" si="10"/>
        <v/>
      </c>
      <c r="U160" s="13" t="str">
        <f t="shared" si="11"/>
        <v/>
      </c>
      <c r="V160" s="18" t="str">
        <f>IF(C160="","",IF(_xlfn.MINIFS(入出庫履歴!$K$10:$K$1009,入出庫履歴!$E$10:$E$1009,C160,入出庫履歴!$N$10:$N$1009,"&gt;0")=0,"",_xlfn.MINIFS(入出庫履歴!$K$10:$K$1009,入出庫履歴!$E$10:$E$1009,C160,入出庫履歴!$N$10:$N$1009,"&gt;0")))</f>
        <v/>
      </c>
      <c r="W160" s="17" t="str">
        <f ca="1">IF(OR(V160="",P160&lt;=0),"",IF(V160&lt;TODAY(),"期限切れ",IF(V160-TODAY()&lt;=設定!$C$4,"期限間近","")))</f>
        <v/>
      </c>
      <c r="X160" s="19"/>
      <c r="Y160" s="19"/>
      <c r="Z160" t="str">
        <f>IF(OR(T160="要発注",T160="欠品",T160="在庫異常"),COUNTIF($T$10:T160,"要発注")+COUNTIF($T$10:T160,"欠品")+COUNTIF($T$10:T160,"在庫異常"),"")</f>
        <v/>
      </c>
    </row>
    <row r="161" spans="2:26">
      <c r="B161" s="8" t="str">
        <f>IF(C161="","",COUNTA($C$10:C161))</f>
        <v/>
      </c>
      <c r="C161" s="9"/>
      <c r="D161" s="19"/>
      <c r="E161" s="19"/>
      <c r="F161" s="10"/>
      <c r="G161" s="11"/>
      <c r="H161" s="9"/>
      <c r="I161" s="11"/>
      <c r="J161" s="19"/>
      <c r="K161" s="12"/>
      <c r="L161" s="13" t="str">
        <f>IF(C161="","",SUMIFS(入出庫履歴!$G$10:$G$1009,入出庫履歴!$E$10:$E$1009,C161,入出庫履歴!$D$10:$D$1009,"入庫"))</f>
        <v/>
      </c>
      <c r="M161" s="13" t="str">
        <f>IF(C161="","",SUMIFS(入出庫履歴!$G$10:$G$1009,入出庫履歴!$E$10:$E$1009,C161,入出庫履歴!$D$10:$D$1009,"出庫"))</f>
        <v/>
      </c>
      <c r="N161" s="13" t="str">
        <f>IF(C161="","",SUMIFS(入出庫履歴!$G$10:$G$1009,入出庫履歴!$E$10:$E$1009,C161,入出庫履歴!$D$10:$D$1009,"廃棄"))</f>
        <v/>
      </c>
      <c r="O161" s="14" t="str">
        <f>IF(C161="","",SUMIFS(入出庫履歴!$G$10:$G$1009,入出庫履歴!$E$10:$E$1009,C161,入出庫履歴!$D$10:$D$1009,"棚卸調整"))</f>
        <v/>
      </c>
      <c r="P161" s="13" t="str">
        <f t="shared" si="8"/>
        <v/>
      </c>
      <c r="Q161" s="15" t="str">
        <f t="shared" si="9"/>
        <v/>
      </c>
      <c r="R161" s="16"/>
      <c r="S161" s="16"/>
      <c r="T161" s="17" t="str">
        <f t="shared" si="10"/>
        <v/>
      </c>
      <c r="U161" s="13" t="str">
        <f t="shared" si="11"/>
        <v/>
      </c>
      <c r="V161" s="18" t="str">
        <f>IF(C161="","",IF(_xlfn.MINIFS(入出庫履歴!$K$10:$K$1009,入出庫履歴!$E$10:$E$1009,C161,入出庫履歴!$N$10:$N$1009,"&gt;0")=0,"",_xlfn.MINIFS(入出庫履歴!$K$10:$K$1009,入出庫履歴!$E$10:$E$1009,C161,入出庫履歴!$N$10:$N$1009,"&gt;0")))</f>
        <v/>
      </c>
      <c r="W161" s="17" t="str">
        <f ca="1">IF(OR(V161="",P161&lt;=0),"",IF(V161&lt;TODAY(),"期限切れ",IF(V161-TODAY()&lt;=設定!$C$4,"期限間近","")))</f>
        <v/>
      </c>
      <c r="X161" s="19"/>
      <c r="Y161" s="19"/>
      <c r="Z161" t="str">
        <f>IF(OR(T161="要発注",T161="欠品",T161="在庫異常"),COUNTIF($T$10:T161,"要発注")+COUNTIF($T$10:T161,"欠品")+COUNTIF($T$10:T161,"在庫異常"),"")</f>
        <v/>
      </c>
    </row>
    <row r="162" spans="2:26">
      <c r="B162" s="8" t="str">
        <f>IF(C162="","",COUNTA($C$10:C162))</f>
        <v/>
      </c>
      <c r="C162" s="9"/>
      <c r="D162" s="19"/>
      <c r="E162" s="19"/>
      <c r="F162" s="10"/>
      <c r="G162" s="11"/>
      <c r="H162" s="9"/>
      <c r="I162" s="11"/>
      <c r="J162" s="19"/>
      <c r="K162" s="12"/>
      <c r="L162" s="13" t="str">
        <f>IF(C162="","",SUMIFS(入出庫履歴!$G$10:$G$1009,入出庫履歴!$E$10:$E$1009,C162,入出庫履歴!$D$10:$D$1009,"入庫"))</f>
        <v/>
      </c>
      <c r="M162" s="13" t="str">
        <f>IF(C162="","",SUMIFS(入出庫履歴!$G$10:$G$1009,入出庫履歴!$E$10:$E$1009,C162,入出庫履歴!$D$10:$D$1009,"出庫"))</f>
        <v/>
      </c>
      <c r="N162" s="13" t="str">
        <f>IF(C162="","",SUMIFS(入出庫履歴!$G$10:$G$1009,入出庫履歴!$E$10:$E$1009,C162,入出庫履歴!$D$10:$D$1009,"廃棄"))</f>
        <v/>
      </c>
      <c r="O162" s="14" t="str">
        <f>IF(C162="","",SUMIFS(入出庫履歴!$G$10:$G$1009,入出庫履歴!$E$10:$E$1009,C162,入出庫履歴!$D$10:$D$1009,"棚卸調整"))</f>
        <v/>
      </c>
      <c r="P162" s="13" t="str">
        <f t="shared" si="8"/>
        <v/>
      </c>
      <c r="Q162" s="15" t="str">
        <f t="shared" si="9"/>
        <v/>
      </c>
      <c r="R162" s="16"/>
      <c r="S162" s="16"/>
      <c r="T162" s="17" t="str">
        <f t="shared" si="10"/>
        <v/>
      </c>
      <c r="U162" s="13" t="str">
        <f t="shared" si="11"/>
        <v/>
      </c>
      <c r="V162" s="18" t="str">
        <f>IF(C162="","",IF(_xlfn.MINIFS(入出庫履歴!$K$10:$K$1009,入出庫履歴!$E$10:$E$1009,C162,入出庫履歴!$N$10:$N$1009,"&gt;0")=0,"",_xlfn.MINIFS(入出庫履歴!$K$10:$K$1009,入出庫履歴!$E$10:$E$1009,C162,入出庫履歴!$N$10:$N$1009,"&gt;0")))</f>
        <v/>
      </c>
      <c r="W162" s="17" t="str">
        <f ca="1">IF(OR(V162="",P162&lt;=0),"",IF(V162&lt;TODAY(),"期限切れ",IF(V162-TODAY()&lt;=設定!$C$4,"期限間近","")))</f>
        <v/>
      </c>
      <c r="X162" s="19"/>
      <c r="Y162" s="19"/>
      <c r="Z162" t="str">
        <f>IF(OR(T162="要発注",T162="欠品",T162="在庫異常"),COUNTIF($T$10:T162,"要発注")+COUNTIF($T$10:T162,"欠品")+COUNTIF($T$10:T162,"在庫異常"),"")</f>
        <v/>
      </c>
    </row>
    <row r="163" spans="2:26">
      <c r="B163" s="8" t="str">
        <f>IF(C163="","",COUNTA($C$10:C163))</f>
        <v/>
      </c>
      <c r="C163" s="9"/>
      <c r="D163" s="19"/>
      <c r="E163" s="19"/>
      <c r="F163" s="10"/>
      <c r="G163" s="11"/>
      <c r="H163" s="9"/>
      <c r="I163" s="11"/>
      <c r="J163" s="19"/>
      <c r="K163" s="12"/>
      <c r="L163" s="13" t="str">
        <f>IF(C163="","",SUMIFS(入出庫履歴!$G$10:$G$1009,入出庫履歴!$E$10:$E$1009,C163,入出庫履歴!$D$10:$D$1009,"入庫"))</f>
        <v/>
      </c>
      <c r="M163" s="13" t="str">
        <f>IF(C163="","",SUMIFS(入出庫履歴!$G$10:$G$1009,入出庫履歴!$E$10:$E$1009,C163,入出庫履歴!$D$10:$D$1009,"出庫"))</f>
        <v/>
      </c>
      <c r="N163" s="13" t="str">
        <f>IF(C163="","",SUMIFS(入出庫履歴!$G$10:$G$1009,入出庫履歴!$E$10:$E$1009,C163,入出庫履歴!$D$10:$D$1009,"廃棄"))</f>
        <v/>
      </c>
      <c r="O163" s="14" t="str">
        <f>IF(C163="","",SUMIFS(入出庫履歴!$G$10:$G$1009,入出庫履歴!$E$10:$E$1009,C163,入出庫履歴!$D$10:$D$1009,"棚卸調整"))</f>
        <v/>
      </c>
      <c r="P163" s="13" t="str">
        <f t="shared" si="8"/>
        <v/>
      </c>
      <c r="Q163" s="15" t="str">
        <f t="shared" si="9"/>
        <v/>
      </c>
      <c r="R163" s="16"/>
      <c r="S163" s="16"/>
      <c r="T163" s="17" t="str">
        <f t="shared" si="10"/>
        <v/>
      </c>
      <c r="U163" s="13" t="str">
        <f t="shared" si="11"/>
        <v/>
      </c>
      <c r="V163" s="18" t="str">
        <f>IF(C163="","",IF(_xlfn.MINIFS(入出庫履歴!$K$10:$K$1009,入出庫履歴!$E$10:$E$1009,C163,入出庫履歴!$N$10:$N$1009,"&gt;0")=0,"",_xlfn.MINIFS(入出庫履歴!$K$10:$K$1009,入出庫履歴!$E$10:$E$1009,C163,入出庫履歴!$N$10:$N$1009,"&gt;0")))</f>
        <v/>
      </c>
      <c r="W163" s="17" t="str">
        <f ca="1">IF(OR(V163="",P163&lt;=0),"",IF(V163&lt;TODAY(),"期限切れ",IF(V163-TODAY()&lt;=設定!$C$4,"期限間近","")))</f>
        <v/>
      </c>
      <c r="X163" s="19"/>
      <c r="Y163" s="19"/>
      <c r="Z163" t="str">
        <f>IF(OR(T163="要発注",T163="欠品",T163="在庫異常"),COUNTIF($T$10:T163,"要発注")+COUNTIF($T$10:T163,"欠品")+COUNTIF($T$10:T163,"在庫異常"),"")</f>
        <v/>
      </c>
    </row>
    <row r="164" spans="2:26">
      <c r="B164" s="8" t="str">
        <f>IF(C164="","",COUNTA($C$10:C164))</f>
        <v/>
      </c>
      <c r="C164" s="9"/>
      <c r="D164" s="19"/>
      <c r="E164" s="19"/>
      <c r="F164" s="10"/>
      <c r="G164" s="11"/>
      <c r="H164" s="9"/>
      <c r="I164" s="11"/>
      <c r="J164" s="19"/>
      <c r="K164" s="12"/>
      <c r="L164" s="13" t="str">
        <f>IF(C164="","",SUMIFS(入出庫履歴!$G$10:$G$1009,入出庫履歴!$E$10:$E$1009,C164,入出庫履歴!$D$10:$D$1009,"入庫"))</f>
        <v/>
      </c>
      <c r="M164" s="13" t="str">
        <f>IF(C164="","",SUMIFS(入出庫履歴!$G$10:$G$1009,入出庫履歴!$E$10:$E$1009,C164,入出庫履歴!$D$10:$D$1009,"出庫"))</f>
        <v/>
      </c>
      <c r="N164" s="13" t="str">
        <f>IF(C164="","",SUMIFS(入出庫履歴!$G$10:$G$1009,入出庫履歴!$E$10:$E$1009,C164,入出庫履歴!$D$10:$D$1009,"廃棄"))</f>
        <v/>
      </c>
      <c r="O164" s="14" t="str">
        <f>IF(C164="","",SUMIFS(入出庫履歴!$G$10:$G$1009,入出庫履歴!$E$10:$E$1009,C164,入出庫履歴!$D$10:$D$1009,"棚卸調整"))</f>
        <v/>
      </c>
      <c r="P164" s="13" t="str">
        <f t="shared" si="8"/>
        <v/>
      </c>
      <c r="Q164" s="15" t="str">
        <f t="shared" si="9"/>
        <v/>
      </c>
      <c r="R164" s="16"/>
      <c r="S164" s="16"/>
      <c r="T164" s="17" t="str">
        <f t="shared" si="10"/>
        <v/>
      </c>
      <c r="U164" s="13" t="str">
        <f t="shared" si="11"/>
        <v/>
      </c>
      <c r="V164" s="18" t="str">
        <f>IF(C164="","",IF(_xlfn.MINIFS(入出庫履歴!$K$10:$K$1009,入出庫履歴!$E$10:$E$1009,C164,入出庫履歴!$N$10:$N$1009,"&gt;0")=0,"",_xlfn.MINIFS(入出庫履歴!$K$10:$K$1009,入出庫履歴!$E$10:$E$1009,C164,入出庫履歴!$N$10:$N$1009,"&gt;0")))</f>
        <v/>
      </c>
      <c r="W164" s="17" t="str">
        <f ca="1">IF(OR(V164="",P164&lt;=0),"",IF(V164&lt;TODAY(),"期限切れ",IF(V164-TODAY()&lt;=設定!$C$4,"期限間近","")))</f>
        <v/>
      </c>
      <c r="X164" s="19"/>
      <c r="Y164" s="19"/>
      <c r="Z164" t="str">
        <f>IF(OR(T164="要発注",T164="欠品",T164="在庫異常"),COUNTIF($T$10:T164,"要発注")+COUNTIF($T$10:T164,"欠品")+COUNTIF($T$10:T164,"在庫異常"),"")</f>
        <v/>
      </c>
    </row>
    <row r="165" spans="2:26">
      <c r="B165" s="8" t="str">
        <f>IF(C165="","",COUNTA($C$10:C165))</f>
        <v/>
      </c>
      <c r="C165" s="9"/>
      <c r="D165" s="19"/>
      <c r="E165" s="19"/>
      <c r="F165" s="10"/>
      <c r="G165" s="11"/>
      <c r="H165" s="9"/>
      <c r="I165" s="11"/>
      <c r="J165" s="19"/>
      <c r="K165" s="12"/>
      <c r="L165" s="13" t="str">
        <f>IF(C165="","",SUMIFS(入出庫履歴!$G$10:$G$1009,入出庫履歴!$E$10:$E$1009,C165,入出庫履歴!$D$10:$D$1009,"入庫"))</f>
        <v/>
      </c>
      <c r="M165" s="13" t="str">
        <f>IF(C165="","",SUMIFS(入出庫履歴!$G$10:$G$1009,入出庫履歴!$E$10:$E$1009,C165,入出庫履歴!$D$10:$D$1009,"出庫"))</f>
        <v/>
      </c>
      <c r="N165" s="13" t="str">
        <f>IF(C165="","",SUMIFS(入出庫履歴!$G$10:$G$1009,入出庫履歴!$E$10:$E$1009,C165,入出庫履歴!$D$10:$D$1009,"廃棄"))</f>
        <v/>
      </c>
      <c r="O165" s="14" t="str">
        <f>IF(C165="","",SUMIFS(入出庫履歴!$G$10:$G$1009,入出庫履歴!$E$10:$E$1009,C165,入出庫履歴!$D$10:$D$1009,"棚卸調整"))</f>
        <v/>
      </c>
      <c r="P165" s="13" t="str">
        <f t="shared" si="8"/>
        <v/>
      </c>
      <c r="Q165" s="15" t="str">
        <f t="shared" si="9"/>
        <v/>
      </c>
      <c r="R165" s="16"/>
      <c r="S165" s="16"/>
      <c r="T165" s="17" t="str">
        <f t="shared" si="10"/>
        <v/>
      </c>
      <c r="U165" s="13" t="str">
        <f t="shared" si="11"/>
        <v/>
      </c>
      <c r="V165" s="18" t="str">
        <f>IF(C165="","",IF(_xlfn.MINIFS(入出庫履歴!$K$10:$K$1009,入出庫履歴!$E$10:$E$1009,C165,入出庫履歴!$N$10:$N$1009,"&gt;0")=0,"",_xlfn.MINIFS(入出庫履歴!$K$10:$K$1009,入出庫履歴!$E$10:$E$1009,C165,入出庫履歴!$N$10:$N$1009,"&gt;0")))</f>
        <v/>
      </c>
      <c r="W165" s="17" t="str">
        <f ca="1">IF(OR(V165="",P165&lt;=0),"",IF(V165&lt;TODAY(),"期限切れ",IF(V165-TODAY()&lt;=設定!$C$4,"期限間近","")))</f>
        <v/>
      </c>
      <c r="X165" s="19"/>
      <c r="Y165" s="19"/>
      <c r="Z165" t="str">
        <f>IF(OR(T165="要発注",T165="欠品",T165="在庫異常"),COUNTIF($T$10:T165,"要発注")+COUNTIF($T$10:T165,"欠品")+COUNTIF($T$10:T165,"在庫異常"),"")</f>
        <v/>
      </c>
    </row>
    <row r="166" spans="2:26">
      <c r="B166" s="8" t="str">
        <f>IF(C166="","",COUNTA($C$10:C166))</f>
        <v/>
      </c>
      <c r="C166" s="9"/>
      <c r="D166" s="19"/>
      <c r="E166" s="19"/>
      <c r="F166" s="10"/>
      <c r="G166" s="11"/>
      <c r="H166" s="9"/>
      <c r="I166" s="11"/>
      <c r="J166" s="19"/>
      <c r="K166" s="12"/>
      <c r="L166" s="13" t="str">
        <f>IF(C166="","",SUMIFS(入出庫履歴!$G$10:$G$1009,入出庫履歴!$E$10:$E$1009,C166,入出庫履歴!$D$10:$D$1009,"入庫"))</f>
        <v/>
      </c>
      <c r="M166" s="13" t="str">
        <f>IF(C166="","",SUMIFS(入出庫履歴!$G$10:$G$1009,入出庫履歴!$E$10:$E$1009,C166,入出庫履歴!$D$10:$D$1009,"出庫"))</f>
        <v/>
      </c>
      <c r="N166" s="13" t="str">
        <f>IF(C166="","",SUMIFS(入出庫履歴!$G$10:$G$1009,入出庫履歴!$E$10:$E$1009,C166,入出庫履歴!$D$10:$D$1009,"廃棄"))</f>
        <v/>
      </c>
      <c r="O166" s="14" t="str">
        <f>IF(C166="","",SUMIFS(入出庫履歴!$G$10:$G$1009,入出庫履歴!$E$10:$E$1009,C166,入出庫履歴!$D$10:$D$1009,"棚卸調整"))</f>
        <v/>
      </c>
      <c r="P166" s="13" t="str">
        <f t="shared" si="8"/>
        <v/>
      </c>
      <c r="Q166" s="15" t="str">
        <f t="shared" si="9"/>
        <v/>
      </c>
      <c r="R166" s="16"/>
      <c r="S166" s="16"/>
      <c r="T166" s="17" t="str">
        <f t="shared" si="10"/>
        <v/>
      </c>
      <c r="U166" s="13" t="str">
        <f t="shared" si="11"/>
        <v/>
      </c>
      <c r="V166" s="18" t="str">
        <f>IF(C166="","",IF(_xlfn.MINIFS(入出庫履歴!$K$10:$K$1009,入出庫履歴!$E$10:$E$1009,C166,入出庫履歴!$N$10:$N$1009,"&gt;0")=0,"",_xlfn.MINIFS(入出庫履歴!$K$10:$K$1009,入出庫履歴!$E$10:$E$1009,C166,入出庫履歴!$N$10:$N$1009,"&gt;0")))</f>
        <v/>
      </c>
      <c r="W166" s="17" t="str">
        <f ca="1">IF(OR(V166="",P166&lt;=0),"",IF(V166&lt;TODAY(),"期限切れ",IF(V166-TODAY()&lt;=設定!$C$4,"期限間近","")))</f>
        <v/>
      </c>
      <c r="X166" s="19"/>
      <c r="Y166" s="19"/>
      <c r="Z166" t="str">
        <f>IF(OR(T166="要発注",T166="欠品",T166="在庫異常"),COUNTIF($T$10:T166,"要発注")+COUNTIF($T$10:T166,"欠品")+COUNTIF($T$10:T166,"在庫異常"),"")</f>
        <v/>
      </c>
    </row>
    <row r="167" spans="2:26">
      <c r="B167" s="8" t="str">
        <f>IF(C167="","",COUNTA($C$10:C167))</f>
        <v/>
      </c>
      <c r="C167" s="9"/>
      <c r="D167" s="19"/>
      <c r="E167" s="19"/>
      <c r="F167" s="10"/>
      <c r="G167" s="11"/>
      <c r="H167" s="9"/>
      <c r="I167" s="11"/>
      <c r="J167" s="19"/>
      <c r="K167" s="12"/>
      <c r="L167" s="13" t="str">
        <f>IF(C167="","",SUMIFS(入出庫履歴!$G$10:$G$1009,入出庫履歴!$E$10:$E$1009,C167,入出庫履歴!$D$10:$D$1009,"入庫"))</f>
        <v/>
      </c>
      <c r="M167" s="13" t="str">
        <f>IF(C167="","",SUMIFS(入出庫履歴!$G$10:$G$1009,入出庫履歴!$E$10:$E$1009,C167,入出庫履歴!$D$10:$D$1009,"出庫"))</f>
        <v/>
      </c>
      <c r="N167" s="13" t="str">
        <f>IF(C167="","",SUMIFS(入出庫履歴!$G$10:$G$1009,入出庫履歴!$E$10:$E$1009,C167,入出庫履歴!$D$10:$D$1009,"廃棄"))</f>
        <v/>
      </c>
      <c r="O167" s="14" t="str">
        <f>IF(C167="","",SUMIFS(入出庫履歴!$G$10:$G$1009,入出庫履歴!$E$10:$E$1009,C167,入出庫履歴!$D$10:$D$1009,"棚卸調整"))</f>
        <v/>
      </c>
      <c r="P167" s="13" t="str">
        <f t="shared" si="8"/>
        <v/>
      </c>
      <c r="Q167" s="15" t="str">
        <f t="shared" si="9"/>
        <v/>
      </c>
      <c r="R167" s="16"/>
      <c r="S167" s="16"/>
      <c r="T167" s="17" t="str">
        <f t="shared" si="10"/>
        <v/>
      </c>
      <c r="U167" s="13" t="str">
        <f t="shared" si="11"/>
        <v/>
      </c>
      <c r="V167" s="18" t="str">
        <f>IF(C167="","",IF(_xlfn.MINIFS(入出庫履歴!$K$10:$K$1009,入出庫履歴!$E$10:$E$1009,C167,入出庫履歴!$N$10:$N$1009,"&gt;0")=0,"",_xlfn.MINIFS(入出庫履歴!$K$10:$K$1009,入出庫履歴!$E$10:$E$1009,C167,入出庫履歴!$N$10:$N$1009,"&gt;0")))</f>
        <v/>
      </c>
      <c r="W167" s="17" t="str">
        <f ca="1">IF(OR(V167="",P167&lt;=0),"",IF(V167&lt;TODAY(),"期限切れ",IF(V167-TODAY()&lt;=設定!$C$4,"期限間近","")))</f>
        <v/>
      </c>
      <c r="X167" s="19"/>
      <c r="Y167" s="19"/>
      <c r="Z167" t="str">
        <f>IF(OR(T167="要発注",T167="欠品",T167="在庫異常"),COUNTIF($T$10:T167,"要発注")+COUNTIF($T$10:T167,"欠品")+COUNTIF($T$10:T167,"在庫異常"),"")</f>
        <v/>
      </c>
    </row>
    <row r="168" spans="2:26">
      <c r="B168" s="8" t="str">
        <f>IF(C168="","",COUNTA($C$10:C168))</f>
        <v/>
      </c>
      <c r="C168" s="9"/>
      <c r="D168" s="19"/>
      <c r="E168" s="19"/>
      <c r="F168" s="10"/>
      <c r="G168" s="11"/>
      <c r="H168" s="9"/>
      <c r="I168" s="11"/>
      <c r="J168" s="19"/>
      <c r="K168" s="12"/>
      <c r="L168" s="13" t="str">
        <f>IF(C168="","",SUMIFS(入出庫履歴!$G$10:$G$1009,入出庫履歴!$E$10:$E$1009,C168,入出庫履歴!$D$10:$D$1009,"入庫"))</f>
        <v/>
      </c>
      <c r="M168" s="13" t="str">
        <f>IF(C168="","",SUMIFS(入出庫履歴!$G$10:$G$1009,入出庫履歴!$E$10:$E$1009,C168,入出庫履歴!$D$10:$D$1009,"出庫"))</f>
        <v/>
      </c>
      <c r="N168" s="13" t="str">
        <f>IF(C168="","",SUMIFS(入出庫履歴!$G$10:$G$1009,入出庫履歴!$E$10:$E$1009,C168,入出庫履歴!$D$10:$D$1009,"廃棄"))</f>
        <v/>
      </c>
      <c r="O168" s="14" t="str">
        <f>IF(C168="","",SUMIFS(入出庫履歴!$G$10:$G$1009,入出庫履歴!$E$10:$E$1009,C168,入出庫履歴!$D$10:$D$1009,"棚卸調整"))</f>
        <v/>
      </c>
      <c r="P168" s="13" t="str">
        <f t="shared" si="8"/>
        <v/>
      </c>
      <c r="Q168" s="15" t="str">
        <f t="shared" si="9"/>
        <v/>
      </c>
      <c r="R168" s="16"/>
      <c r="S168" s="16"/>
      <c r="T168" s="17" t="str">
        <f t="shared" si="10"/>
        <v/>
      </c>
      <c r="U168" s="13" t="str">
        <f t="shared" si="11"/>
        <v/>
      </c>
      <c r="V168" s="18" t="str">
        <f>IF(C168="","",IF(_xlfn.MINIFS(入出庫履歴!$K$10:$K$1009,入出庫履歴!$E$10:$E$1009,C168,入出庫履歴!$N$10:$N$1009,"&gt;0")=0,"",_xlfn.MINIFS(入出庫履歴!$K$10:$K$1009,入出庫履歴!$E$10:$E$1009,C168,入出庫履歴!$N$10:$N$1009,"&gt;0")))</f>
        <v/>
      </c>
      <c r="W168" s="17" t="str">
        <f ca="1">IF(OR(V168="",P168&lt;=0),"",IF(V168&lt;TODAY(),"期限切れ",IF(V168-TODAY()&lt;=設定!$C$4,"期限間近","")))</f>
        <v/>
      </c>
      <c r="X168" s="19"/>
      <c r="Y168" s="19"/>
      <c r="Z168" t="str">
        <f>IF(OR(T168="要発注",T168="欠品",T168="在庫異常"),COUNTIF($T$10:T168,"要発注")+COUNTIF($T$10:T168,"欠品")+COUNTIF($T$10:T168,"在庫異常"),"")</f>
        <v/>
      </c>
    </row>
    <row r="169" spans="2:26">
      <c r="B169" s="8" t="str">
        <f>IF(C169="","",COUNTA($C$10:C169))</f>
        <v/>
      </c>
      <c r="C169" s="9"/>
      <c r="D169" s="19"/>
      <c r="E169" s="19"/>
      <c r="F169" s="10"/>
      <c r="G169" s="11"/>
      <c r="H169" s="9"/>
      <c r="I169" s="11"/>
      <c r="J169" s="19"/>
      <c r="K169" s="12"/>
      <c r="L169" s="13" t="str">
        <f>IF(C169="","",SUMIFS(入出庫履歴!$G$10:$G$1009,入出庫履歴!$E$10:$E$1009,C169,入出庫履歴!$D$10:$D$1009,"入庫"))</f>
        <v/>
      </c>
      <c r="M169" s="13" t="str">
        <f>IF(C169="","",SUMIFS(入出庫履歴!$G$10:$G$1009,入出庫履歴!$E$10:$E$1009,C169,入出庫履歴!$D$10:$D$1009,"出庫"))</f>
        <v/>
      </c>
      <c r="N169" s="13" t="str">
        <f>IF(C169="","",SUMIFS(入出庫履歴!$G$10:$G$1009,入出庫履歴!$E$10:$E$1009,C169,入出庫履歴!$D$10:$D$1009,"廃棄"))</f>
        <v/>
      </c>
      <c r="O169" s="14" t="str">
        <f>IF(C169="","",SUMIFS(入出庫履歴!$G$10:$G$1009,入出庫履歴!$E$10:$E$1009,C169,入出庫履歴!$D$10:$D$1009,"棚卸調整"))</f>
        <v/>
      </c>
      <c r="P169" s="13" t="str">
        <f t="shared" si="8"/>
        <v/>
      </c>
      <c r="Q169" s="15" t="str">
        <f t="shared" si="9"/>
        <v/>
      </c>
      <c r="R169" s="16"/>
      <c r="S169" s="16"/>
      <c r="T169" s="17" t="str">
        <f t="shared" si="10"/>
        <v/>
      </c>
      <c r="U169" s="13" t="str">
        <f t="shared" si="11"/>
        <v/>
      </c>
      <c r="V169" s="18" t="str">
        <f>IF(C169="","",IF(_xlfn.MINIFS(入出庫履歴!$K$10:$K$1009,入出庫履歴!$E$10:$E$1009,C169,入出庫履歴!$N$10:$N$1009,"&gt;0")=0,"",_xlfn.MINIFS(入出庫履歴!$K$10:$K$1009,入出庫履歴!$E$10:$E$1009,C169,入出庫履歴!$N$10:$N$1009,"&gt;0")))</f>
        <v/>
      </c>
      <c r="W169" s="17" t="str">
        <f ca="1">IF(OR(V169="",P169&lt;=0),"",IF(V169&lt;TODAY(),"期限切れ",IF(V169-TODAY()&lt;=設定!$C$4,"期限間近","")))</f>
        <v/>
      </c>
      <c r="X169" s="19"/>
      <c r="Y169" s="19"/>
      <c r="Z169" t="str">
        <f>IF(OR(T169="要発注",T169="欠品",T169="在庫異常"),COUNTIF($T$10:T169,"要発注")+COUNTIF($T$10:T169,"欠品")+COUNTIF($T$10:T169,"在庫異常"),"")</f>
        <v/>
      </c>
    </row>
    <row r="170" spans="2:26">
      <c r="B170" s="8" t="str">
        <f>IF(C170="","",COUNTA($C$10:C170))</f>
        <v/>
      </c>
      <c r="C170" s="9"/>
      <c r="D170" s="19"/>
      <c r="E170" s="19"/>
      <c r="F170" s="10"/>
      <c r="G170" s="11"/>
      <c r="H170" s="9"/>
      <c r="I170" s="11"/>
      <c r="J170" s="19"/>
      <c r="K170" s="12"/>
      <c r="L170" s="13" t="str">
        <f>IF(C170="","",SUMIFS(入出庫履歴!$G$10:$G$1009,入出庫履歴!$E$10:$E$1009,C170,入出庫履歴!$D$10:$D$1009,"入庫"))</f>
        <v/>
      </c>
      <c r="M170" s="13" t="str">
        <f>IF(C170="","",SUMIFS(入出庫履歴!$G$10:$G$1009,入出庫履歴!$E$10:$E$1009,C170,入出庫履歴!$D$10:$D$1009,"出庫"))</f>
        <v/>
      </c>
      <c r="N170" s="13" t="str">
        <f>IF(C170="","",SUMIFS(入出庫履歴!$G$10:$G$1009,入出庫履歴!$E$10:$E$1009,C170,入出庫履歴!$D$10:$D$1009,"廃棄"))</f>
        <v/>
      </c>
      <c r="O170" s="14" t="str">
        <f>IF(C170="","",SUMIFS(入出庫履歴!$G$10:$G$1009,入出庫履歴!$E$10:$E$1009,C170,入出庫履歴!$D$10:$D$1009,"棚卸調整"))</f>
        <v/>
      </c>
      <c r="P170" s="13" t="str">
        <f t="shared" si="8"/>
        <v/>
      </c>
      <c r="Q170" s="15" t="str">
        <f t="shared" si="9"/>
        <v/>
      </c>
      <c r="R170" s="16"/>
      <c r="S170" s="16"/>
      <c r="T170" s="17" t="str">
        <f t="shared" si="10"/>
        <v/>
      </c>
      <c r="U170" s="13" t="str">
        <f t="shared" si="11"/>
        <v/>
      </c>
      <c r="V170" s="18" t="str">
        <f>IF(C170="","",IF(_xlfn.MINIFS(入出庫履歴!$K$10:$K$1009,入出庫履歴!$E$10:$E$1009,C170,入出庫履歴!$N$10:$N$1009,"&gt;0")=0,"",_xlfn.MINIFS(入出庫履歴!$K$10:$K$1009,入出庫履歴!$E$10:$E$1009,C170,入出庫履歴!$N$10:$N$1009,"&gt;0")))</f>
        <v/>
      </c>
      <c r="W170" s="17" t="str">
        <f ca="1">IF(OR(V170="",P170&lt;=0),"",IF(V170&lt;TODAY(),"期限切れ",IF(V170-TODAY()&lt;=設定!$C$4,"期限間近","")))</f>
        <v/>
      </c>
      <c r="X170" s="19"/>
      <c r="Y170" s="19"/>
      <c r="Z170" t="str">
        <f>IF(OR(T170="要発注",T170="欠品",T170="在庫異常"),COUNTIF($T$10:T170,"要発注")+COUNTIF($T$10:T170,"欠品")+COUNTIF($T$10:T170,"在庫異常"),"")</f>
        <v/>
      </c>
    </row>
    <row r="171" spans="2:26">
      <c r="B171" s="8" t="str">
        <f>IF(C171="","",COUNTA($C$10:C171))</f>
        <v/>
      </c>
      <c r="C171" s="9"/>
      <c r="D171" s="19"/>
      <c r="E171" s="19"/>
      <c r="F171" s="10"/>
      <c r="G171" s="11"/>
      <c r="H171" s="9"/>
      <c r="I171" s="11"/>
      <c r="J171" s="19"/>
      <c r="K171" s="12"/>
      <c r="L171" s="13" t="str">
        <f>IF(C171="","",SUMIFS(入出庫履歴!$G$10:$G$1009,入出庫履歴!$E$10:$E$1009,C171,入出庫履歴!$D$10:$D$1009,"入庫"))</f>
        <v/>
      </c>
      <c r="M171" s="13" t="str">
        <f>IF(C171="","",SUMIFS(入出庫履歴!$G$10:$G$1009,入出庫履歴!$E$10:$E$1009,C171,入出庫履歴!$D$10:$D$1009,"出庫"))</f>
        <v/>
      </c>
      <c r="N171" s="13" t="str">
        <f>IF(C171="","",SUMIFS(入出庫履歴!$G$10:$G$1009,入出庫履歴!$E$10:$E$1009,C171,入出庫履歴!$D$10:$D$1009,"廃棄"))</f>
        <v/>
      </c>
      <c r="O171" s="14" t="str">
        <f>IF(C171="","",SUMIFS(入出庫履歴!$G$10:$G$1009,入出庫履歴!$E$10:$E$1009,C171,入出庫履歴!$D$10:$D$1009,"棚卸調整"))</f>
        <v/>
      </c>
      <c r="P171" s="13" t="str">
        <f t="shared" si="8"/>
        <v/>
      </c>
      <c r="Q171" s="15" t="str">
        <f t="shared" si="9"/>
        <v/>
      </c>
      <c r="R171" s="16"/>
      <c r="S171" s="16"/>
      <c r="T171" s="17" t="str">
        <f t="shared" si="10"/>
        <v/>
      </c>
      <c r="U171" s="13" t="str">
        <f t="shared" si="11"/>
        <v/>
      </c>
      <c r="V171" s="18" t="str">
        <f>IF(C171="","",IF(_xlfn.MINIFS(入出庫履歴!$K$10:$K$1009,入出庫履歴!$E$10:$E$1009,C171,入出庫履歴!$N$10:$N$1009,"&gt;0")=0,"",_xlfn.MINIFS(入出庫履歴!$K$10:$K$1009,入出庫履歴!$E$10:$E$1009,C171,入出庫履歴!$N$10:$N$1009,"&gt;0")))</f>
        <v/>
      </c>
      <c r="W171" s="17" t="str">
        <f ca="1">IF(OR(V171="",P171&lt;=0),"",IF(V171&lt;TODAY(),"期限切れ",IF(V171-TODAY()&lt;=設定!$C$4,"期限間近","")))</f>
        <v/>
      </c>
      <c r="X171" s="19"/>
      <c r="Y171" s="19"/>
      <c r="Z171" t="str">
        <f>IF(OR(T171="要発注",T171="欠品",T171="在庫異常"),COUNTIF($T$10:T171,"要発注")+COUNTIF($T$10:T171,"欠品")+COUNTIF($T$10:T171,"在庫異常"),"")</f>
        <v/>
      </c>
    </row>
    <row r="172" spans="2:26">
      <c r="B172" s="8" t="str">
        <f>IF(C172="","",COUNTA($C$10:C172))</f>
        <v/>
      </c>
      <c r="C172" s="9"/>
      <c r="D172" s="19"/>
      <c r="E172" s="19"/>
      <c r="F172" s="10"/>
      <c r="G172" s="11"/>
      <c r="H172" s="9"/>
      <c r="I172" s="11"/>
      <c r="J172" s="19"/>
      <c r="K172" s="12"/>
      <c r="L172" s="13" t="str">
        <f>IF(C172="","",SUMIFS(入出庫履歴!$G$10:$G$1009,入出庫履歴!$E$10:$E$1009,C172,入出庫履歴!$D$10:$D$1009,"入庫"))</f>
        <v/>
      </c>
      <c r="M172" s="13" t="str">
        <f>IF(C172="","",SUMIFS(入出庫履歴!$G$10:$G$1009,入出庫履歴!$E$10:$E$1009,C172,入出庫履歴!$D$10:$D$1009,"出庫"))</f>
        <v/>
      </c>
      <c r="N172" s="13" t="str">
        <f>IF(C172="","",SUMIFS(入出庫履歴!$G$10:$G$1009,入出庫履歴!$E$10:$E$1009,C172,入出庫履歴!$D$10:$D$1009,"廃棄"))</f>
        <v/>
      </c>
      <c r="O172" s="14" t="str">
        <f>IF(C172="","",SUMIFS(入出庫履歴!$G$10:$G$1009,入出庫履歴!$E$10:$E$1009,C172,入出庫履歴!$D$10:$D$1009,"棚卸調整"))</f>
        <v/>
      </c>
      <c r="P172" s="13" t="str">
        <f t="shared" si="8"/>
        <v/>
      </c>
      <c r="Q172" s="15" t="str">
        <f t="shared" si="9"/>
        <v/>
      </c>
      <c r="R172" s="16"/>
      <c r="S172" s="16"/>
      <c r="T172" s="17" t="str">
        <f t="shared" si="10"/>
        <v/>
      </c>
      <c r="U172" s="13" t="str">
        <f t="shared" si="11"/>
        <v/>
      </c>
      <c r="V172" s="18" t="str">
        <f>IF(C172="","",IF(_xlfn.MINIFS(入出庫履歴!$K$10:$K$1009,入出庫履歴!$E$10:$E$1009,C172,入出庫履歴!$N$10:$N$1009,"&gt;0")=0,"",_xlfn.MINIFS(入出庫履歴!$K$10:$K$1009,入出庫履歴!$E$10:$E$1009,C172,入出庫履歴!$N$10:$N$1009,"&gt;0")))</f>
        <v/>
      </c>
      <c r="W172" s="17" t="str">
        <f ca="1">IF(OR(V172="",P172&lt;=0),"",IF(V172&lt;TODAY(),"期限切れ",IF(V172-TODAY()&lt;=設定!$C$4,"期限間近","")))</f>
        <v/>
      </c>
      <c r="X172" s="19"/>
      <c r="Y172" s="19"/>
      <c r="Z172" t="str">
        <f>IF(OR(T172="要発注",T172="欠品",T172="在庫異常"),COUNTIF($T$10:T172,"要発注")+COUNTIF($T$10:T172,"欠品")+COUNTIF($T$10:T172,"在庫異常"),"")</f>
        <v/>
      </c>
    </row>
    <row r="173" spans="2:26">
      <c r="B173" s="8" t="str">
        <f>IF(C173="","",COUNTA($C$10:C173))</f>
        <v/>
      </c>
      <c r="C173" s="9"/>
      <c r="D173" s="19"/>
      <c r="E173" s="19"/>
      <c r="F173" s="10"/>
      <c r="G173" s="11"/>
      <c r="H173" s="9"/>
      <c r="I173" s="11"/>
      <c r="J173" s="19"/>
      <c r="K173" s="12"/>
      <c r="L173" s="13" t="str">
        <f>IF(C173="","",SUMIFS(入出庫履歴!$G$10:$G$1009,入出庫履歴!$E$10:$E$1009,C173,入出庫履歴!$D$10:$D$1009,"入庫"))</f>
        <v/>
      </c>
      <c r="M173" s="13" t="str">
        <f>IF(C173="","",SUMIFS(入出庫履歴!$G$10:$G$1009,入出庫履歴!$E$10:$E$1009,C173,入出庫履歴!$D$10:$D$1009,"出庫"))</f>
        <v/>
      </c>
      <c r="N173" s="13" t="str">
        <f>IF(C173="","",SUMIFS(入出庫履歴!$G$10:$G$1009,入出庫履歴!$E$10:$E$1009,C173,入出庫履歴!$D$10:$D$1009,"廃棄"))</f>
        <v/>
      </c>
      <c r="O173" s="14" t="str">
        <f>IF(C173="","",SUMIFS(入出庫履歴!$G$10:$G$1009,入出庫履歴!$E$10:$E$1009,C173,入出庫履歴!$D$10:$D$1009,"棚卸調整"))</f>
        <v/>
      </c>
      <c r="P173" s="13" t="str">
        <f t="shared" si="8"/>
        <v/>
      </c>
      <c r="Q173" s="15" t="str">
        <f t="shared" si="9"/>
        <v/>
      </c>
      <c r="R173" s="16"/>
      <c r="S173" s="16"/>
      <c r="T173" s="17" t="str">
        <f t="shared" si="10"/>
        <v/>
      </c>
      <c r="U173" s="13" t="str">
        <f t="shared" si="11"/>
        <v/>
      </c>
      <c r="V173" s="18" t="str">
        <f>IF(C173="","",IF(_xlfn.MINIFS(入出庫履歴!$K$10:$K$1009,入出庫履歴!$E$10:$E$1009,C173,入出庫履歴!$N$10:$N$1009,"&gt;0")=0,"",_xlfn.MINIFS(入出庫履歴!$K$10:$K$1009,入出庫履歴!$E$10:$E$1009,C173,入出庫履歴!$N$10:$N$1009,"&gt;0")))</f>
        <v/>
      </c>
      <c r="W173" s="17" t="str">
        <f ca="1">IF(OR(V173="",P173&lt;=0),"",IF(V173&lt;TODAY(),"期限切れ",IF(V173-TODAY()&lt;=設定!$C$4,"期限間近","")))</f>
        <v/>
      </c>
      <c r="X173" s="19"/>
      <c r="Y173" s="19"/>
      <c r="Z173" t="str">
        <f>IF(OR(T173="要発注",T173="欠品",T173="在庫異常"),COUNTIF($T$10:T173,"要発注")+COUNTIF($T$10:T173,"欠品")+COUNTIF($T$10:T173,"在庫異常"),"")</f>
        <v/>
      </c>
    </row>
    <row r="174" spans="2:26">
      <c r="B174" s="8" t="str">
        <f>IF(C174="","",COUNTA($C$10:C174))</f>
        <v/>
      </c>
      <c r="C174" s="9"/>
      <c r="D174" s="19"/>
      <c r="E174" s="19"/>
      <c r="F174" s="10"/>
      <c r="G174" s="11"/>
      <c r="H174" s="9"/>
      <c r="I174" s="11"/>
      <c r="J174" s="19"/>
      <c r="K174" s="12"/>
      <c r="L174" s="13" t="str">
        <f>IF(C174="","",SUMIFS(入出庫履歴!$G$10:$G$1009,入出庫履歴!$E$10:$E$1009,C174,入出庫履歴!$D$10:$D$1009,"入庫"))</f>
        <v/>
      </c>
      <c r="M174" s="13" t="str">
        <f>IF(C174="","",SUMIFS(入出庫履歴!$G$10:$G$1009,入出庫履歴!$E$10:$E$1009,C174,入出庫履歴!$D$10:$D$1009,"出庫"))</f>
        <v/>
      </c>
      <c r="N174" s="13" t="str">
        <f>IF(C174="","",SUMIFS(入出庫履歴!$G$10:$G$1009,入出庫履歴!$E$10:$E$1009,C174,入出庫履歴!$D$10:$D$1009,"廃棄"))</f>
        <v/>
      </c>
      <c r="O174" s="14" t="str">
        <f>IF(C174="","",SUMIFS(入出庫履歴!$G$10:$G$1009,入出庫履歴!$E$10:$E$1009,C174,入出庫履歴!$D$10:$D$1009,"棚卸調整"))</f>
        <v/>
      </c>
      <c r="P174" s="13" t="str">
        <f t="shared" si="8"/>
        <v/>
      </c>
      <c r="Q174" s="15" t="str">
        <f t="shared" si="9"/>
        <v/>
      </c>
      <c r="R174" s="16"/>
      <c r="S174" s="16"/>
      <c r="T174" s="17" t="str">
        <f t="shared" si="10"/>
        <v/>
      </c>
      <c r="U174" s="13" t="str">
        <f t="shared" si="11"/>
        <v/>
      </c>
      <c r="V174" s="18" t="str">
        <f>IF(C174="","",IF(_xlfn.MINIFS(入出庫履歴!$K$10:$K$1009,入出庫履歴!$E$10:$E$1009,C174,入出庫履歴!$N$10:$N$1009,"&gt;0")=0,"",_xlfn.MINIFS(入出庫履歴!$K$10:$K$1009,入出庫履歴!$E$10:$E$1009,C174,入出庫履歴!$N$10:$N$1009,"&gt;0")))</f>
        <v/>
      </c>
      <c r="W174" s="17" t="str">
        <f ca="1">IF(OR(V174="",P174&lt;=0),"",IF(V174&lt;TODAY(),"期限切れ",IF(V174-TODAY()&lt;=設定!$C$4,"期限間近","")))</f>
        <v/>
      </c>
      <c r="X174" s="19"/>
      <c r="Y174" s="19"/>
      <c r="Z174" t="str">
        <f>IF(OR(T174="要発注",T174="欠品",T174="在庫異常"),COUNTIF($T$10:T174,"要発注")+COUNTIF($T$10:T174,"欠品")+COUNTIF($T$10:T174,"在庫異常"),"")</f>
        <v/>
      </c>
    </row>
    <row r="175" spans="2:26">
      <c r="B175" s="8" t="str">
        <f>IF(C175="","",COUNTA($C$10:C175))</f>
        <v/>
      </c>
      <c r="C175" s="9"/>
      <c r="D175" s="19"/>
      <c r="E175" s="19"/>
      <c r="F175" s="10"/>
      <c r="G175" s="11"/>
      <c r="H175" s="9"/>
      <c r="I175" s="11"/>
      <c r="J175" s="19"/>
      <c r="K175" s="12"/>
      <c r="L175" s="13" t="str">
        <f>IF(C175="","",SUMIFS(入出庫履歴!$G$10:$G$1009,入出庫履歴!$E$10:$E$1009,C175,入出庫履歴!$D$10:$D$1009,"入庫"))</f>
        <v/>
      </c>
      <c r="M175" s="13" t="str">
        <f>IF(C175="","",SUMIFS(入出庫履歴!$G$10:$G$1009,入出庫履歴!$E$10:$E$1009,C175,入出庫履歴!$D$10:$D$1009,"出庫"))</f>
        <v/>
      </c>
      <c r="N175" s="13" t="str">
        <f>IF(C175="","",SUMIFS(入出庫履歴!$G$10:$G$1009,入出庫履歴!$E$10:$E$1009,C175,入出庫履歴!$D$10:$D$1009,"廃棄"))</f>
        <v/>
      </c>
      <c r="O175" s="14" t="str">
        <f>IF(C175="","",SUMIFS(入出庫履歴!$G$10:$G$1009,入出庫履歴!$E$10:$E$1009,C175,入出庫履歴!$D$10:$D$1009,"棚卸調整"))</f>
        <v/>
      </c>
      <c r="P175" s="13" t="str">
        <f t="shared" si="8"/>
        <v/>
      </c>
      <c r="Q175" s="15" t="str">
        <f t="shared" si="9"/>
        <v/>
      </c>
      <c r="R175" s="16"/>
      <c r="S175" s="16"/>
      <c r="T175" s="17" t="str">
        <f t="shared" si="10"/>
        <v/>
      </c>
      <c r="U175" s="13" t="str">
        <f t="shared" si="11"/>
        <v/>
      </c>
      <c r="V175" s="18" t="str">
        <f>IF(C175="","",IF(_xlfn.MINIFS(入出庫履歴!$K$10:$K$1009,入出庫履歴!$E$10:$E$1009,C175,入出庫履歴!$N$10:$N$1009,"&gt;0")=0,"",_xlfn.MINIFS(入出庫履歴!$K$10:$K$1009,入出庫履歴!$E$10:$E$1009,C175,入出庫履歴!$N$10:$N$1009,"&gt;0")))</f>
        <v/>
      </c>
      <c r="W175" s="17" t="str">
        <f ca="1">IF(OR(V175="",P175&lt;=0),"",IF(V175&lt;TODAY(),"期限切れ",IF(V175-TODAY()&lt;=設定!$C$4,"期限間近","")))</f>
        <v/>
      </c>
      <c r="X175" s="19"/>
      <c r="Y175" s="19"/>
      <c r="Z175" t="str">
        <f>IF(OR(T175="要発注",T175="欠品",T175="在庫異常"),COUNTIF($T$10:T175,"要発注")+COUNTIF($T$10:T175,"欠品")+COUNTIF($T$10:T175,"在庫異常"),"")</f>
        <v/>
      </c>
    </row>
    <row r="176" spans="2:26">
      <c r="B176" s="8" t="str">
        <f>IF(C176="","",COUNTA($C$10:C176))</f>
        <v/>
      </c>
      <c r="C176" s="9"/>
      <c r="D176" s="19"/>
      <c r="E176" s="19"/>
      <c r="F176" s="10"/>
      <c r="G176" s="11"/>
      <c r="H176" s="9"/>
      <c r="I176" s="11"/>
      <c r="J176" s="19"/>
      <c r="K176" s="12"/>
      <c r="L176" s="13" t="str">
        <f>IF(C176="","",SUMIFS(入出庫履歴!$G$10:$G$1009,入出庫履歴!$E$10:$E$1009,C176,入出庫履歴!$D$10:$D$1009,"入庫"))</f>
        <v/>
      </c>
      <c r="M176" s="13" t="str">
        <f>IF(C176="","",SUMIFS(入出庫履歴!$G$10:$G$1009,入出庫履歴!$E$10:$E$1009,C176,入出庫履歴!$D$10:$D$1009,"出庫"))</f>
        <v/>
      </c>
      <c r="N176" s="13" t="str">
        <f>IF(C176="","",SUMIFS(入出庫履歴!$G$10:$G$1009,入出庫履歴!$E$10:$E$1009,C176,入出庫履歴!$D$10:$D$1009,"廃棄"))</f>
        <v/>
      </c>
      <c r="O176" s="14" t="str">
        <f>IF(C176="","",SUMIFS(入出庫履歴!$G$10:$G$1009,入出庫履歴!$E$10:$E$1009,C176,入出庫履歴!$D$10:$D$1009,"棚卸調整"))</f>
        <v/>
      </c>
      <c r="P176" s="13" t="str">
        <f t="shared" si="8"/>
        <v/>
      </c>
      <c r="Q176" s="15" t="str">
        <f t="shared" si="9"/>
        <v/>
      </c>
      <c r="R176" s="16"/>
      <c r="S176" s="16"/>
      <c r="T176" s="17" t="str">
        <f t="shared" si="10"/>
        <v/>
      </c>
      <c r="U176" s="13" t="str">
        <f t="shared" si="11"/>
        <v/>
      </c>
      <c r="V176" s="18" t="str">
        <f>IF(C176="","",IF(_xlfn.MINIFS(入出庫履歴!$K$10:$K$1009,入出庫履歴!$E$10:$E$1009,C176,入出庫履歴!$N$10:$N$1009,"&gt;0")=0,"",_xlfn.MINIFS(入出庫履歴!$K$10:$K$1009,入出庫履歴!$E$10:$E$1009,C176,入出庫履歴!$N$10:$N$1009,"&gt;0")))</f>
        <v/>
      </c>
      <c r="W176" s="17" t="str">
        <f ca="1">IF(OR(V176="",P176&lt;=0),"",IF(V176&lt;TODAY(),"期限切れ",IF(V176-TODAY()&lt;=設定!$C$4,"期限間近","")))</f>
        <v/>
      </c>
      <c r="X176" s="19"/>
      <c r="Y176" s="19"/>
      <c r="Z176" t="str">
        <f>IF(OR(T176="要発注",T176="欠品",T176="在庫異常"),COUNTIF($T$10:T176,"要発注")+COUNTIF($T$10:T176,"欠品")+COUNTIF($T$10:T176,"在庫異常"),"")</f>
        <v/>
      </c>
    </row>
    <row r="177" spans="2:26">
      <c r="B177" s="8" t="str">
        <f>IF(C177="","",COUNTA($C$10:C177))</f>
        <v/>
      </c>
      <c r="C177" s="9"/>
      <c r="D177" s="19"/>
      <c r="E177" s="19"/>
      <c r="F177" s="10"/>
      <c r="G177" s="11"/>
      <c r="H177" s="9"/>
      <c r="I177" s="11"/>
      <c r="J177" s="19"/>
      <c r="K177" s="12"/>
      <c r="L177" s="13" t="str">
        <f>IF(C177="","",SUMIFS(入出庫履歴!$G$10:$G$1009,入出庫履歴!$E$10:$E$1009,C177,入出庫履歴!$D$10:$D$1009,"入庫"))</f>
        <v/>
      </c>
      <c r="M177" s="13" t="str">
        <f>IF(C177="","",SUMIFS(入出庫履歴!$G$10:$G$1009,入出庫履歴!$E$10:$E$1009,C177,入出庫履歴!$D$10:$D$1009,"出庫"))</f>
        <v/>
      </c>
      <c r="N177" s="13" t="str">
        <f>IF(C177="","",SUMIFS(入出庫履歴!$G$10:$G$1009,入出庫履歴!$E$10:$E$1009,C177,入出庫履歴!$D$10:$D$1009,"廃棄"))</f>
        <v/>
      </c>
      <c r="O177" s="14" t="str">
        <f>IF(C177="","",SUMIFS(入出庫履歴!$G$10:$G$1009,入出庫履歴!$E$10:$E$1009,C177,入出庫履歴!$D$10:$D$1009,"棚卸調整"))</f>
        <v/>
      </c>
      <c r="P177" s="13" t="str">
        <f t="shared" si="8"/>
        <v/>
      </c>
      <c r="Q177" s="15" t="str">
        <f t="shared" si="9"/>
        <v/>
      </c>
      <c r="R177" s="16"/>
      <c r="S177" s="16"/>
      <c r="T177" s="17" t="str">
        <f t="shared" si="10"/>
        <v/>
      </c>
      <c r="U177" s="13" t="str">
        <f t="shared" si="11"/>
        <v/>
      </c>
      <c r="V177" s="18" t="str">
        <f>IF(C177="","",IF(_xlfn.MINIFS(入出庫履歴!$K$10:$K$1009,入出庫履歴!$E$10:$E$1009,C177,入出庫履歴!$N$10:$N$1009,"&gt;0")=0,"",_xlfn.MINIFS(入出庫履歴!$K$10:$K$1009,入出庫履歴!$E$10:$E$1009,C177,入出庫履歴!$N$10:$N$1009,"&gt;0")))</f>
        <v/>
      </c>
      <c r="W177" s="17" t="str">
        <f ca="1">IF(OR(V177="",P177&lt;=0),"",IF(V177&lt;TODAY(),"期限切れ",IF(V177-TODAY()&lt;=設定!$C$4,"期限間近","")))</f>
        <v/>
      </c>
      <c r="X177" s="19"/>
      <c r="Y177" s="19"/>
      <c r="Z177" t="str">
        <f>IF(OR(T177="要発注",T177="欠品",T177="在庫異常"),COUNTIF($T$10:T177,"要発注")+COUNTIF($T$10:T177,"欠品")+COUNTIF($T$10:T177,"在庫異常"),"")</f>
        <v/>
      </c>
    </row>
    <row r="178" spans="2:26">
      <c r="B178" s="8" t="str">
        <f>IF(C178="","",COUNTA($C$10:C178))</f>
        <v/>
      </c>
      <c r="C178" s="9"/>
      <c r="D178" s="19"/>
      <c r="E178" s="19"/>
      <c r="F178" s="10"/>
      <c r="G178" s="11"/>
      <c r="H178" s="9"/>
      <c r="I178" s="11"/>
      <c r="J178" s="19"/>
      <c r="K178" s="12"/>
      <c r="L178" s="13" t="str">
        <f>IF(C178="","",SUMIFS(入出庫履歴!$G$10:$G$1009,入出庫履歴!$E$10:$E$1009,C178,入出庫履歴!$D$10:$D$1009,"入庫"))</f>
        <v/>
      </c>
      <c r="M178" s="13" t="str">
        <f>IF(C178="","",SUMIFS(入出庫履歴!$G$10:$G$1009,入出庫履歴!$E$10:$E$1009,C178,入出庫履歴!$D$10:$D$1009,"出庫"))</f>
        <v/>
      </c>
      <c r="N178" s="13" t="str">
        <f>IF(C178="","",SUMIFS(入出庫履歴!$G$10:$G$1009,入出庫履歴!$E$10:$E$1009,C178,入出庫履歴!$D$10:$D$1009,"廃棄"))</f>
        <v/>
      </c>
      <c r="O178" s="14" t="str">
        <f>IF(C178="","",SUMIFS(入出庫履歴!$G$10:$G$1009,入出庫履歴!$E$10:$E$1009,C178,入出庫履歴!$D$10:$D$1009,"棚卸調整"))</f>
        <v/>
      </c>
      <c r="P178" s="13" t="str">
        <f t="shared" si="8"/>
        <v/>
      </c>
      <c r="Q178" s="15" t="str">
        <f t="shared" si="9"/>
        <v/>
      </c>
      <c r="R178" s="16"/>
      <c r="S178" s="16"/>
      <c r="T178" s="17" t="str">
        <f t="shared" si="10"/>
        <v/>
      </c>
      <c r="U178" s="13" t="str">
        <f t="shared" si="11"/>
        <v/>
      </c>
      <c r="V178" s="18" t="str">
        <f>IF(C178="","",IF(_xlfn.MINIFS(入出庫履歴!$K$10:$K$1009,入出庫履歴!$E$10:$E$1009,C178,入出庫履歴!$N$10:$N$1009,"&gt;0")=0,"",_xlfn.MINIFS(入出庫履歴!$K$10:$K$1009,入出庫履歴!$E$10:$E$1009,C178,入出庫履歴!$N$10:$N$1009,"&gt;0")))</f>
        <v/>
      </c>
      <c r="W178" s="17" t="str">
        <f ca="1">IF(OR(V178="",P178&lt;=0),"",IF(V178&lt;TODAY(),"期限切れ",IF(V178-TODAY()&lt;=設定!$C$4,"期限間近","")))</f>
        <v/>
      </c>
      <c r="X178" s="19"/>
      <c r="Y178" s="19"/>
      <c r="Z178" t="str">
        <f>IF(OR(T178="要発注",T178="欠品",T178="在庫異常"),COUNTIF($T$10:T178,"要発注")+COUNTIF($T$10:T178,"欠品")+COUNTIF($T$10:T178,"在庫異常"),"")</f>
        <v/>
      </c>
    </row>
    <row r="179" spans="2:26">
      <c r="B179" s="8" t="str">
        <f>IF(C179="","",COUNTA($C$10:C179))</f>
        <v/>
      </c>
      <c r="C179" s="9"/>
      <c r="D179" s="19"/>
      <c r="E179" s="19"/>
      <c r="F179" s="10"/>
      <c r="G179" s="11"/>
      <c r="H179" s="9"/>
      <c r="I179" s="11"/>
      <c r="J179" s="19"/>
      <c r="K179" s="12"/>
      <c r="L179" s="13" t="str">
        <f>IF(C179="","",SUMIFS(入出庫履歴!$G$10:$G$1009,入出庫履歴!$E$10:$E$1009,C179,入出庫履歴!$D$10:$D$1009,"入庫"))</f>
        <v/>
      </c>
      <c r="M179" s="13" t="str">
        <f>IF(C179="","",SUMIFS(入出庫履歴!$G$10:$G$1009,入出庫履歴!$E$10:$E$1009,C179,入出庫履歴!$D$10:$D$1009,"出庫"))</f>
        <v/>
      </c>
      <c r="N179" s="13" t="str">
        <f>IF(C179="","",SUMIFS(入出庫履歴!$G$10:$G$1009,入出庫履歴!$E$10:$E$1009,C179,入出庫履歴!$D$10:$D$1009,"廃棄"))</f>
        <v/>
      </c>
      <c r="O179" s="14" t="str">
        <f>IF(C179="","",SUMIFS(入出庫履歴!$G$10:$G$1009,入出庫履歴!$E$10:$E$1009,C179,入出庫履歴!$D$10:$D$1009,"棚卸調整"))</f>
        <v/>
      </c>
      <c r="P179" s="13" t="str">
        <f t="shared" si="8"/>
        <v/>
      </c>
      <c r="Q179" s="15" t="str">
        <f t="shared" si="9"/>
        <v/>
      </c>
      <c r="R179" s="16"/>
      <c r="S179" s="16"/>
      <c r="T179" s="17" t="str">
        <f t="shared" si="10"/>
        <v/>
      </c>
      <c r="U179" s="13" t="str">
        <f t="shared" si="11"/>
        <v/>
      </c>
      <c r="V179" s="18" t="str">
        <f>IF(C179="","",IF(_xlfn.MINIFS(入出庫履歴!$K$10:$K$1009,入出庫履歴!$E$10:$E$1009,C179,入出庫履歴!$N$10:$N$1009,"&gt;0")=0,"",_xlfn.MINIFS(入出庫履歴!$K$10:$K$1009,入出庫履歴!$E$10:$E$1009,C179,入出庫履歴!$N$10:$N$1009,"&gt;0")))</f>
        <v/>
      </c>
      <c r="W179" s="17" t="str">
        <f ca="1">IF(OR(V179="",P179&lt;=0),"",IF(V179&lt;TODAY(),"期限切れ",IF(V179-TODAY()&lt;=設定!$C$4,"期限間近","")))</f>
        <v/>
      </c>
      <c r="X179" s="19"/>
      <c r="Y179" s="19"/>
      <c r="Z179" t="str">
        <f>IF(OR(T179="要発注",T179="欠品",T179="在庫異常"),COUNTIF($T$10:T179,"要発注")+COUNTIF($T$10:T179,"欠品")+COUNTIF($T$10:T179,"在庫異常"),"")</f>
        <v/>
      </c>
    </row>
    <row r="180" spans="2:26">
      <c r="B180" s="8" t="str">
        <f>IF(C180="","",COUNTA($C$10:C180))</f>
        <v/>
      </c>
      <c r="C180" s="9"/>
      <c r="D180" s="19"/>
      <c r="E180" s="19"/>
      <c r="F180" s="10"/>
      <c r="G180" s="11"/>
      <c r="H180" s="9"/>
      <c r="I180" s="11"/>
      <c r="J180" s="19"/>
      <c r="K180" s="12"/>
      <c r="L180" s="13" t="str">
        <f>IF(C180="","",SUMIFS(入出庫履歴!$G$10:$G$1009,入出庫履歴!$E$10:$E$1009,C180,入出庫履歴!$D$10:$D$1009,"入庫"))</f>
        <v/>
      </c>
      <c r="M180" s="13" t="str">
        <f>IF(C180="","",SUMIFS(入出庫履歴!$G$10:$G$1009,入出庫履歴!$E$10:$E$1009,C180,入出庫履歴!$D$10:$D$1009,"出庫"))</f>
        <v/>
      </c>
      <c r="N180" s="13" t="str">
        <f>IF(C180="","",SUMIFS(入出庫履歴!$G$10:$G$1009,入出庫履歴!$E$10:$E$1009,C180,入出庫履歴!$D$10:$D$1009,"廃棄"))</f>
        <v/>
      </c>
      <c r="O180" s="14" t="str">
        <f>IF(C180="","",SUMIFS(入出庫履歴!$G$10:$G$1009,入出庫履歴!$E$10:$E$1009,C180,入出庫履歴!$D$10:$D$1009,"棚卸調整"))</f>
        <v/>
      </c>
      <c r="P180" s="13" t="str">
        <f t="shared" si="8"/>
        <v/>
      </c>
      <c r="Q180" s="15" t="str">
        <f t="shared" si="9"/>
        <v/>
      </c>
      <c r="R180" s="16"/>
      <c r="S180" s="16"/>
      <c r="T180" s="17" t="str">
        <f t="shared" si="10"/>
        <v/>
      </c>
      <c r="U180" s="13" t="str">
        <f t="shared" si="11"/>
        <v/>
      </c>
      <c r="V180" s="18" t="str">
        <f>IF(C180="","",IF(_xlfn.MINIFS(入出庫履歴!$K$10:$K$1009,入出庫履歴!$E$10:$E$1009,C180,入出庫履歴!$N$10:$N$1009,"&gt;0")=0,"",_xlfn.MINIFS(入出庫履歴!$K$10:$K$1009,入出庫履歴!$E$10:$E$1009,C180,入出庫履歴!$N$10:$N$1009,"&gt;0")))</f>
        <v/>
      </c>
      <c r="W180" s="17" t="str">
        <f ca="1">IF(OR(V180="",P180&lt;=0),"",IF(V180&lt;TODAY(),"期限切れ",IF(V180-TODAY()&lt;=設定!$C$4,"期限間近","")))</f>
        <v/>
      </c>
      <c r="X180" s="19"/>
      <c r="Y180" s="19"/>
      <c r="Z180" t="str">
        <f>IF(OR(T180="要発注",T180="欠品",T180="在庫異常"),COUNTIF($T$10:T180,"要発注")+COUNTIF($T$10:T180,"欠品")+COUNTIF($T$10:T180,"在庫異常"),"")</f>
        <v/>
      </c>
    </row>
    <row r="181" spans="2:26">
      <c r="B181" s="8" t="str">
        <f>IF(C181="","",COUNTA($C$10:C181))</f>
        <v/>
      </c>
      <c r="C181" s="9"/>
      <c r="D181" s="19"/>
      <c r="E181" s="19"/>
      <c r="F181" s="10"/>
      <c r="G181" s="11"/>
      <c r="H181" s="9"/>
      <c r="I181" s="11"/>
      <c r="J181" s="19"/>
      <c r="K181" s="12"/>
      <c r="L181" s="13" t="str">
        <f>IF(C181="","",SUMIFS(入出庫履歴!$G$10:$G$1009,入出庫履歴!$E$10:$E$1009,C181,入出庫履歴!$D$10:$D$1009,"入庫"))</f>
        <v/>
      </c>
      <c r="M181" s="13" t="str">
        <f>IF(C181="","",SUMIFS(入出庫履歴!$G$10:$G$1009,入出庫履歴!$E$10:$E$1009,C181,入出庫履歴!$D$10:$D$1009,"出庫"))</f>
        <v/>
      </c>
      <c r="N181" s="13" t="str">
        <f>IF(C181="","",SUMIFS(入出庫履歴!$G$10:$G$1009,入出庫履歴!$E$10:$E$1009,C181,入出庫履歴!$D$10:$D$1009,"廃棄"))</f>
        <v/>
      </c>
      <c r="O181" s="14" t="str">
        <f>IF(C181="","",SUMIFS(入出庫履歴!$G$10:$G$1009,入出庫履歴!$E$10:$E$1009,C181,入出庫履歴!$D$10:$D$1009,"棚卸調整"))</f>
        <v/>
      </c>
      <c r="P181" s="13" t="str">
        <f t="shared" si="8"/>
        <v/>
      </c>
      <c r="Q181" s="15" t="str">
        <f t="shared" si="9"/>
        <v/>
      </c>
      <c r="R181" s="16"/>
      <c r="S181" s="16"/>
      <c r="T181" s="17" t="str">
        <f t="shared" si="10"/>
        <v/>
      </c>
      <c r="U181" s="13" t="str">
        <f t="shared" si="11"/>
        <v/>
      </c>
      <c r="V181" s="18" t="str">
        <f>IF(C181="","",IF(_xlfn.MINIFS(入出庫履歴!$K$10:$K$1009,入出庫履歴!$E$10:$E$1009,C181,入出庫履歴!$N$10:$N$1009,"&gt;0")=0,"",_xlfn.MINIFS(入出庫履歴!$K$10:$K$1009,入出庫履歴!$E$10:$E$1009,C181,入出庫履歴!$N$10:$N$1009,"&gt;0")))</f>
        <v/>
      </c>
      <c r="W181" s="17" t="str">
        <f ca="1">IF(OR(V181="",P181&lt;=0),"",IF(V181&lt;TODAY(),"期限切れ",IF(V181-TODAY()&lt;=設定!$C$4,"期限間近","")))</f>
        <v/>
      </c>
      <c r="X181" s="19"/>
      <c r="Y181" s="19"/>
      <c r="Z181" t="str">
        <f>IF(OR(T181="要発注",T181="欠品",T181="在庫異常"),COUNTIF($T$10:T181,"要発注")+COUNTIF($T$10:T181,"欠品")+COUNTIF($T$10:T181,"在庫異常"),"")</f>
        <v/>
      </c>
    </row>
    <row r="182" spans="2:26">
      <c r="B182" s="8" t="str">
        <f>IF(C182="","",COUNTA($C$10:C182))</f>
        <v/>
      </c>
      <c r="C182" s="9"/>
      <c r="D182" s="19"/>
      <c r="E182" s="19"/>
      <c r="F182" s="10"/>
      <c r="G182" s="11"/>
      <c r="H182" s="9"/>
      <c r="I182" s="11"/>
      <c r="J182" s="19"/>
      <c r="K182" s="12"/>
      <c r="L182" s="13" t="str">
        <f>IF(C182="","",SUMIFS(入出庫履歴!$G$10:$G$1009,入出庫履歴!$E$10:$E$1009,C182,入出庫履歴!$D$10:$D$1009,"入庫"))</f>
        <v/>
      </c>
      <c r="M182" s="13" t="str">
        <f>IF(C182="","",SUMIFS(入出庫履歴!$G$10:$G$1009,入出庫履歴!$E$10:$E$1009,C182,入出庫履歴!$D$10:$D$1009,"出庫"))</f>
        <v/>
      </c>
      <c r="N182" s="13" t="str">
        <f>IF(C182="","",SUMIFS(入出庫履歴!$G$10:$G$1009,入出庫履歴!$E$10:$E$1009,C182,入出庫履歴!$D$10:$D$1009,"廃棄"))</f>
        <v/>
      </c>
      <c r="O182" s="14" t="str">
        <f>IF(C182="","",SUMIFS(入出庫履歴!$G$10:$G$1009,入出庫履歴!$E$10:$E$1009,C182,入出庫履歴!$D$10:$D$1009,"棚卸調整"))</f>
        <v/>
      </c>
      <c r="P182" s="13" t="str">
        <f t="shared" si="8"/>
        <v/>
      </c>
      <c r="Q182" s="15" t="str">
        <f t="shared" si="9"/>
        <v/>
      </c>
      <c r="R182" s="16"/>
      <c r="S182" s="16"/>
      <c r="T182" s="17" t="str">
        <f t="shared" si="10"/>
        <v/>
      </c>
      <c r="U182" s="13" t="str">
        <f t="shared" si="11"/>
        <v/>
      </c>
      <c r="V182" s="18" t="str">
        <f>IF(C182="","",IF(_xlfn.MINIFS(入出庫履歴!$K$10:$K$1009,入出庫履歴!$E$10:$E$1009,C182,入出庫履歴!$N$10:$N$1009,"&gt;0")=0,"",_xlfn.MINIFS(入出庫履歴!$K$10:$K$1009,入出庫履歴!$E$10:$E$1009,C182,入出庫履歴!$N$10:$N$1009,"&gt;0")))</f>
        <v/>
      </c>
      <c r="W182" s="17" t="str">
        <f ca="1">IF(OR(V182="",P182&lt;=0),"",IF(V182&lt;TODAY(),"期限切れ",IF(V182-TODAY()&lt;=設定!$C$4,"期限間近","")))</f>
        <v/>
      </c>
      <c r="X182" s="19"/>
      <c r="Y182" s="19"/>
      <c r="Z182" t="str">
        <f>IF(OR(T182="要発注",T182="欠品",T182="在庫異常"),COUNTIF($T$10:T182,"要発注")+COUNTIF($T$10:T182,"欠品")+COUNTIF($T$10:T182,"在庫異常"),"")</f>
        <v/>
      </c>
    </row>
    <row r="183" spans="2:26">
      <c r="B183" s="8" t="str">
        <f>IF(C183="","",COUNTA($C$10:C183))</f>
        <v/>
      </c>
      <c r="C183" s="9"/>
      <c r="D183" s="19"/>
      <c r="E183" s="19"/>
      <c r="F183" s="10"/>
      <c r="G183" s="11"/>
      <c r="H183" s="9"/>
      <c r="I183" s="11"/>
      <c r="J183" s="19"/>
      <c r="K183" s="12"/>
      <c r="L183" s="13" t="str">
        <f>IF(C183="","",SUMIFS(入出庫履歴!$G$10:$G$1009,入出庫履歴!$E$10:$E$1009,C183,入出庫履歴!$D$10:$D$1009,"入庫"))</f>
        <v/>
      </c>
      <c r="M183" s="13" t="str">
        <f>IF(C183="","",SUMIFS(入出庫履歴!$G$10:$G$1009,入出庫履歴!$E$10:$E$1009,C183,入出庫履歴!$D$10:$D$1009,"出庫"))</f>
        <v/>
      </c>
      <c r="N183" s="13" t="str">
        <f>IF(C183="","",SUMIFS(入出庫履歴!$G$10:$G$1009,入出庫履歴!$E$10:$E$1009,C183,入出庫履歴!$D$10:$D$1009,"廃棄"))</f>
        <v/>
      </c>
      <c r="O183" s="14" t="str">
        <f>IF(C183="","",SUMIFS(入出庫履歴!$G$10:$G$1009,入出庫履歴!$E$10:$E$1009,C183,入出庫履歴!$D$10:$D$1009,"棚卸調整"))</f>
        <v/>
      </c>
      <c r="P183" s="13" t="str">
        <f t="shared" si="8"/>
        <v/>
      </c>
      <c r="Q183" s="15" t="str">
        <f t="shared" si="9"/>
        <v/>
      </c>
      <c r="R183" s="16"/>
      <c r="S183" s="16"/>
      <c r="T183" s="17" t="str">
        <f t="shared" si="10"/>
        <v/>
      </c>
      <c r="U183" s="13" t="str">
        <f t="shared" si="11"/>
        <v/>
      </c>
      <c r="V183" s="18" t="str">
        <f>IF(C183="","",IF(_xlfn.MINIFS(入出庫履歴!$K$10:$K$1009,入出庫履歴!$E$10:$E$1009,C183,入出庫履歴!$N$10:$N$1009,"&gt;0")=0,"",_xlfn.MINIFS(入出庫履歴!$K$10:$K$1009,入出庫履歴!$E$10:$E$1009,C183,入出庫履歴!$N$10:$N$1009,"&gt;0")))</f>
        <v/>
      </c>
      <c r="W183" s="17" t="str">
        <f ca="1">IF(OR(V183="",P183&lt;=0),"",IF(V183&lt;TODAY(),"期限切れ",IF(V183-TODAY()&lt;=設定!$C$4,"期限間近","")))</f>
        <v/>
      </c>
      <c r="X183" s="19"/>
      <c r="Y183" s="19"/>
      <c r="Z183" t="str">
        <f>IF(OR(T183="要発注",T183="欠品",T183="在庫異常"),COUNTIF($T$10:T183,"要発注")+COUNTIF($T$10:T183,"欠品")+COUNTIF($T$10:T183,"在庫異常"),"")</f>
        <v/>
      </c>
    </row>
    <row r="184" spans="2:26">
      <c r="B184" s="8" t="str">
        <f>IF(C184="","",COUNTA($C$10:C184))</f>
        <v/>
      </c>
      <c r="C184" s="9"/>
      <c r="D184" s="19"/>
      <c r="E184" s="19"/>
      <c r="F184" s="10"/>
      <c r="G184" s="11"/>
      <c r="H184" s="9"/>
      <c r="I184" s="11"/>
      <c r="J184" s="19"/>
      <c r="K184" s="12"/>
      <c r="L184" s="13" t="str">
        <f>IF(C184="","",SUMIFS(入出庫履歴!$G$10:$G$1009,入出庫履歴!$E$10:$E$1009,C184,入出庫履歴!$D$10:$D$1009,"入庫"))</f>
        <v/>
      </c>
      <c r="M184" s="13" t="str">
        <f>IF(C184="","",SUMIFS(入出庫履歴!$G$10:$G$1009,入出庫履歴!$E$10:$E$1009,C184,入出庫履歴!$D$10:$D$1009,"出庫"))</f>
        <v/>
      </c>
      <c r="N184" s="13" t="str">
        <f>IF(C184="","",SUMIFS(入出庫履歴!$G$10:$G$1009,入出庫履歴!$E$10:$E$1009,C184,入出庫履歴!$D$10:$D$1009,"廃棄"))</f>
        <v/>
      </c>
      <c r="O184" s="14" t="str">
        <f>IF(C184="","",SUMIFS(入出庫履歴!$G$10:$G$1009,入出庫履歴!$E$10:$E$1009,C184,入出庫履歴!$D$10:$D$1009,"棚卸調整"))</f>
        <v/>
      </c>
      <c r="P184" s="13" t="str">
        <f t="shared" si="8"/>
        <v/>
      </c>
      <c r="Q184" s="15" t="str">
        <f t="shared" si="9"/>
        <v/>
      </c>
      <c r="R184" s="16"/>
      <c r="S184" s="16"/>
      <c r="T184" s="17" t="str">
        <f t="shared" si="10"/>
        <v/>
      </c>
      <c r="U184" s="13" t="str">
        <f t="shared" si="11"/>
        <v/>
      </c>
      <c r="V184" s="18" t="str">
        <f>IF(C184="","",IF(_xlfn.MINIFS(入出庫履歴!$K$10:$K$1009,入出庫履歴!$E$10:$E$1009,C184,入出庫履歴!$N$10:$N$1009,"&gt;0")=0,"",_xlfn.MINIFS(入出庫履歴!$K$10:$K$1009,入出庫履歴!$E$10:$E$1009,C184,入出庫履歴!$N$10:$N$1009,"&gt;0")))</f>
        <v/>
      </c>
      <c r="W184" s="17" t="str">
        <f ca="1">IF(OR(V184="",P184&lt;=0),"",IF(V184&lt;TODAY(),"期限切れ",IF(V184-TODAY()&lt;=設定!$C$4,"期限間近","")))</f>
        <v/>
      </c>
      <c r="X184" s="19"/>
      <c r="Y184" s="19"/>
      <c r="Z184" t="str">
        <f>IF(OR(T184="要発注",T184="欠品",T184="在庫異常"),COUNTIF($T$10:T184,"要発注")+COUNTIF($T$10:T184,"欠品")+COUNTIF($T$10:T184,"在庫異常"),"")</f>
        <v/>
      </c>
    </row>
    <row r="185" spans="2:26">
      <c r="B185" s="8" t="str">
        <f>IF(C185="","",COUNTA($C$10:C185))</f>
        <v/>
      </c>
      <c r="C185" s="9"/>
      <c r="D185" s="19"/>
      <c r="E185" s="19"/>
      <c r="F185" s="10"/>
      <c r="G185" s="11"/>
      <c r="H185" s="9"/>
      <c r="I185" s="11"/>
      <c r="J185" s="19"/>
      <c r="K185" s="12"/>
      <c r="L185" s="13" t="str">
        <f>IF(C185="","",SUMIFS(入出庫履歴!$G$10:$G$1009,入出庫履歴!$E$10:$E$1009,C185,入出庫履歴!$D$10:$D$1009,"入庫"))</f>
        <v/>
      </c>
      <c r="M185" s="13" t="str">
        <f>IF(C185="","",SUMIFS(入出庫履歴!$G$10:$G$1009,入出庫履歴!$E$10:$E$1009,C185,入出庫履歴!$D$10:$D$1009,"出庫"))</f>
        <v/>
      </c>
      <c r="N185" s="13" t="str">
        <f>IF(C185="","",SUMIFS(入出庫履歴!$G$10:$G$1009,入出庫履歴!$E$10:$E$1009,C185,入出庫履歴!$D$10:$D$1009,"廃棄"))</f>
        <v/>
      </c>
      <c r="O185" s="14" t="str">
        <f>IF(C185="","",SUMIFS(入出庫履歴!$G$10:$G$1009,入出庫履歴!$E$10:$E$1009,C185,入出庫履歴!$D$10:$D$1009,"棚卸調整"))</f>
        <v/>
      </c>
      <c r="P185" s="13" t="str">
        <f t="shared" si="8"/>
        <v/>
      </c>
      <c r="Q185" s="15" t="str">
        <f t="shared" si="9"/>
        <v/>
      </c>
      <c r="R185" s="16"/>
      <c r="S185" s="16"/>
      <c r="T185" s="17" t="str">
        <f t="shared" si="10"/>
        <v/>
      </c>
      <c r="U185" s="13" t="str">
        <f t="shared" si="11"/>
        <v/>
      </c>
      <c r="V185" s="18" t="str">
        <f>IF(C185="","",IF(_xlfn.MINIFS(入出庫履歴!$K$10:$K$1009,入出庫履歴!$E$10:$E$1009,C185,入出庫履歴!$N$10:$N$1009,"&gt;0")=0,"",_xlfn.MINIFS(入出庫履歴!$K$10:$K$1009,入出庫履歴!$E$10:$E$1009,C185,入出庫履歴!$N$10:$N$1009,"&gt;0")))</f>
        <v/>
      </c>
      <c r="W185" s="17" t="str">
        <f ca="1">IF(OR(V185="",P185&lt;=0),"",IF(V185&lt;TODAY(),"期限切れ",IF(V185-TODAY()&lt;=設定!$C$4,"期限間近","")))</f>
        <v/>
      </c>
      <c r="X185" s="19"/>
      <c r="Y185" s="19"/>
      <c r="Z185" t="str">
        <f>IF(OR(T185="要発注",T185="欠品",T185="在庫異常"),COUNTIF($T$10:T185,"要発注")+COUNTIF($T$10:T185,"欠品")+COUNTIF($T$10:T185,"在庫異常"),"")</f>
        <v/>
      </c>
    </row>
    <row r="186" spans="2:26">
      <c r="B186" s="8" t="str">
        <f>IF(C186="","",COUNTA($C$10:C186))</f>
        <v/>
      </c>
      <c r="C186" s="9"/>
      <c r="D186" s="19"/>
      <c r="E186" s="19"/>
      <c r="F186" s="10"/>
      <c r="G186" s="11"/>
      <c r="H186" s="9"/>
      <c r="I186" s="11"/>
      <c r="J186" s="19"/>
      <c r="K186" s="12"/>
      <c r="L186" s="13" t="str">
        <f>IF(C186="","",SUMIFS(入出庫履歴!$G$10:$G$1009,入出庫履歴!$E$10:$E$1009,C186,入出庫履歴!$D$10:$D$1009,"入庫"))</f>
        <v/>
      </c>
      <c r="M186" s="13" t="str">
        <f>IF(C186="","",SUMIFS(入出庫履歴!$G$10:$G$1009,入出庫履歴!$E$10:$E$1009,C186,入出庫履歴!$D$10:$D$1009,"出庫"))</f>
        <v/>
      </c>
      <c r="N186" s="13" t="str">
        <f>IF(C186="","",SUMIFS(入出庫履歴!$G$10:$G$1009,入出庫履歴!$E$10:$E$1009,C186,入出庫履歴!$D$10:$D$1009,"廃棄"))</f>
        <v/>
      </c>
      <c r="O186" s="14" t="str">
        <f>IF(C186="","",SUMIFS(入出庫履歴!$G$10:$G$1009,入出庫履歴!$E$10:$E$1009,C186,入出庫履歴!$D$10:$D$1009,"棚卸調整"))</f>
        <v/>
      </c>
      <c r="P186" s="13" t="str">
        <f t="shared" si="8"/>
        <v/>
      </c>
      <c r="Q186" s="15" t="str">
        <f t="shared" si="9"/>
        <v/>
      </c>
      <c r="R186" s="16"/>
      <c r="S186" s="16"/>
      <c r="T186" s="17" t="str">
        <f t="shared" si="10"/>
        <v/>
      </c>
      <c r="U186" s="13" t="str">
        <f t="shared" si="11"/>
        <v/>
      </c>
      <c r="V186" s="18" t="str">
        <f>IF(C186="","",IF(_xlfn.MINIFS(入出庫履歴!$K$10:$K$1009,入出庫履歴!$E$10:$E$1009,C186,入出庫履歴!$N$10:$N$1009,"&gt;0")=0,"",_xlfn.MINIFS(入出庫履歴!$K$10:$K$1009,入出庫履歴!$E$10:$E$1009,C186,入出庫履歴!$N$10:$N$1009,"&gt;0")))</f>
        <v/>
      </c>
      <c r="W186" s="17" t="str">
        <f ca="1">IF(OR(V186="",P186&lt;=0),"",IF(V186&lt;TODAY(),"期限切れ",IF(V186-TODAY()&lt;=設定!$C$4,"期限間近","")))</f>
        <v/>
      </c>
      <c r="X186" s="19"/>
      <c r="Y186" s="19"/>
      <c r="Z186" t="str">
        <f>IF(OR(T186="要発注",T186="欠品",T186="在庫異常"),COUNTIF($T$10:T186,"要発注")+COUNTIF($T$10:T186,"欠品")+COUNTIF($T$10:T186,"在庫異常"),"")</f>
        <v/>
      </c>
    </row>
    <row r="187" spans="2:26">
      <c r="B187" s="8" t="str">
        <f>IF(C187="","",COUNTA($C$10:C187))</f>
        <v/>
      </c>
      <c r="C187" s="9"/>
      <c r="D187" s="19"/>
      <c r="E187" s="19"/>
      <c r="F187" s="10"/>
      <c r="G187" s="11"/>
      <c r="H187" s="9"/>
      <c r="I187" s="11"/>
      <c r="J187" s="19"/>
      <c r="K187" s="12"/>
      <c r="L187" s="13" t="str">
        <f>IF(C187="","",SUMIFS(入出庫履歴!$G$10:$G$1009,入出庫履歴!$E$10:$E$1009,C187,入出庫履歴!$D$10:$D$1009,"入庫"))</f>
        <v/>
      </c>
      <c r="M187" s="13" t="str">
        <f>IF(C187="","",SUMIFS(入出庫履歴!$G$10:$G$1009,入出庫履歴!$E$10:$E$1009,C187,入出庫履歴!$D$10:$D$1009,"出庫"))</f>
        <v/>
      </c>
      <c r="N187" s="13" t="str">
        <f>IF(C187="","",SUMIFS(入出庫履歴!$G$10:$G$1009,入出庫履歴!$E$10:$E$1009,C187,入出庫履歴!$D$10:$D$1009,"廃棄"))</f>
        <v/>
      </c>
      <c r="O187" s="14" t="str">
        <f>IF(C187="","",SUMIFS(入出庫履歴!$G$10:$G$1009,入出庫履歴!$E$10:$E$1009,C187,入出庫履歴!$D$10:$D$1009,"棚卸調整"))</f>
        <v/>
      </c>
      <c r="P187" s="13" t="str">
        <f t="shared" si="8"/>
        <v/>
      </c>
      <c r="Q187" s="15" t="str">
        <f t="shared" si="9"/>
        <v/>
      </c>
      <c r="R187" s="16"/>
      <c r="S187" s="16"/>
      <c r="T187" s="17" t="str">
        <f t="shared" si="10"/>
        <v/>
      </c>
      <c r="U187" s="13" t="str">
        <f t="shared" si="11"/>
        <v/>
      </c>
      <c r="V187" s="18" t="str">
        <f>IF(C187="","",IF(_xlfn.MINIFS(入出庫履歴!$K$10:$K$1009,入出庫履歴!$E$10:$E$1009,C187,入出庫履歴!$N$10:$N$1009,"&gt;0")=0,"",_xlfn.MINIFS(入出庫履歴!$K$10:$K$1009,入出庫履歴!$E$10:$E$1009,C187,入出庫履歴!$N$10:$N$1009,"&gt;0")))</f>
        <v/>
      </c>
      <c r="W187" s="17" t="str">
        <f ca="1">IF(OR(V187="",P187&lt;=0),"",IF(V187&lt;TODAY(),"期限切れ",IF(V187-TODAY()&lt;=設定!$C$4,"期限間近","")))</f>
        <v/>
      </c>
      <c r="X187" s="19"/>
      <c r="Y187" s="19"/>
      <c r="Z187" t="str">
        <f>IF(OR(T187="要発注",T187="欠品",T187="在庫異常"),COUNTIF($T$10:T187,"要発注")+COUNTIF($T$10:T187,"欠品")+COUNTIF($T$10:T187,"在庫異常"),"")</f>
        <v/>
      </c>
    </row>
    <row r="188" spans="2:26">
      <c r="B188" s="8" t="str">
        <f>IF(C188="","",COUNTA($C$10:C188))</f>
        <v/>
      </c>
      <c r="C188" s="9"/>
      <c r="D188" s="19"/>
      <c r="E188" s="19"/>
      <c r="F188" s="10"/>
      <c r="G188" s="11"/>
      <c r="H188" s="9"/>
      <c r="I188" s="11"/>
      <c r="J188" s="19"/>
      <c r="K188" s="12"/>
      <c r="L188" s="13" t="str">
        <f>IF(C188="","",SUMIFS(入出庫履歴!$G$10:$G$1009,入出庫履歴!$E$10:$E$1009,C188,入出庫履歴!$D$10:$D$1009,"入庫"))</f>
        <v/>
      </c>
      <c r="M188" s="13" t="str">
        <f>IF(C188="","",SUMIFS(入出庫履歴!$G$10:$G$1009,入出庫履歴!$E$10:$E$1009,C188,入出庫履歴!$D$10:$D$1009,"出庫"))</f>
        <v/>
      </c>
      <c r="N188" s="13" t="str">
        <f>IF(C188="","",SUMIFS(入出庫履歴!$G$10:$G$1009,入出庫履歴!$E$10:$E$1009,C188,入出庫履歴!$D$10:$D$1009,"廃棄"))</f>
        <v/>
      </c>
      <c r="O188" s="14" t="str">
        <f>IF(C188="","",SUMIFS(入出庫履歴!$G$10:$G$1009,入出庫履歴!$E$10:$E$1009,C188,入出庫履歴!$D$10:$D$1009,"棚卸調整"))</f>
        <v/>
      </c>
      <c r="P188" s="13" t="str">
        <f t="shared" si="8"/>
        <v/>
      </c>
      <c r="Q188" s="15" t="str">
        <f t="shared" si="9"/>
        <v/>
      </c>
      <c r="R188" s="16"/>
      <c r="S188" s="16"/>
      <c r="T188" s="17" t="str">
        <f t="shared" si="10"/>
        <v/>
      </c>
      <c r="U188" s="13" t="str">
        <f t="shared" si="11"/>
        <v/>
      </c>
      <c r="V188" s="18" t="str">
        <f>IF(C188="","",IF(_xlfn.MINIFS(入出庫履歴!$K$10:$K$1009,入出庫履歴!$E$10:$E$1009,C188,入出庫履歴!$N$10:$N$1009,"&gt;0")=0,"",_xlfn.MINIFS(入出庫履歴!$K$10:$K$1009,入出庫履歴!$E$10:$E$1009,C188,入出庫履歴!$N$10:$N$1009,"&gt;0")))</f>
        <v/>
      </c>
      <c r="W188" s="17" t="str">
        <f ca="1">IF(OR(V188="",P188&lt;=0),"",IF(V188&lt;TODAY(),"期限切れ",IF(V188-TODAY()&lt;=設定!$C$4,"期限間近","")))</f>
        <v/>
      </c>
      <c r="X188" s="19"/>
      <c r="Y188" s="19"/>
      <c r="Z188" t="str">
        <f>IF(OR(T188="要発注",T188="欠品",T188="在庫異常"),COUNTIF($T$10:T188,"要発注")+COUNTIF($T$10:T188,"欠品")+COUNTIF($T$10:T188,"在庫異常"),"")</f>
        <v/>
      </c>
    </row>
    <row r="189" spans="2:26">
      <c r="B189" s="8" t="str">
        <f>IF(C189="","",COUNTA($C$10:C189))</f>
        <v/>
      </c>
      <c r="C189" s="9"/>
      <c r="D189" s="19"/>
      <c r="E189" s="19"/>
      <c r="F189" s="10"/>
      <c r="G189" s="11"/>
      <c r="H189" s="9"/>
      <c r="I189" s="11"/>
      <c r="J189" s="19"/>
      <c r="K189" s="12"/>
      <c r="L189" s="13" t="str">
        <f>IF(C189="","",SUMIFS(入出庫履歴!$G$10:$G$1009,入出庫履歴!$E$10:$E$1009,C189,入出庫履歴!$D$10:$D$1009,"入庫"))</f>
        <v/>
      </c>
      <c r="M189" s="13" t="str">
        <f>IF(C189="","",SUMIFS(入出庫履歴!$G$10:$G$1009,入出庫履歴!$E$10:$E$1009,C189,入出庫履歴!$D$10:$D$1009,"出庫"))</f>
        <v/>
      </c>
      <c r="N189" s="13" t="str">
        <f>IF(C189="","",SUMIFS(入出庫履歴!$G$10:$G$1009,入出庫履歴!$E$10:$E$1009,C189,入出庫履歴!$D$10:$D$1009,"廃棄"))</f>
        <v/>
      </c>
      <c r="O189" s="14" t="str">
        <f>IF(C189="","",SUMIFS(入出庫履歴!$G$10:$G$1009,入出庫履歴!$E$10:$E$1009,C189,入出庫履歴!$D$10:$D$1009,"棚卸調整"))</f>
        <v/>
      </c>
      <c r="P189" s="13" t="str">
        <f t="shared" si="8"/>
        <v/>
      </c>
      <c r="Q189" s="15" t="str">
        <f t="shared" si="9"/>
        <v/>
      </c>
      <c r="R189" s="16"/>
      <c r="S189" s="16"/>
      <c r="T189" s="17" t="str">
        <f t="shared" si="10"/>
        <v/>
      </c>
      <c r="U189" s="13" t="str">
        <f t="shared" si="11"/>
        <v/>
      </c>
      <c r="V189" s="18" t="str">
        <f>IF(C189="","",IF(_xlfn.MINIFS(入出庫履歴!$K$10:$K$1009,入出庫履歴!$E$10:$E$1009,C189,入出庫履歴!$N$10:$N$1009,"&gt;0")=0,"",_xlfn.MINIFS(入出庫履歴!$K$10:$K$1009,入出庫履歴!$E$10:$E$1009,C189,入出庫履歴!$N$10:$N$1009,"&gt;0")))</f>
        <v/>
      </c>
      <c r="W189" s="17" t="str">
        <f ca="1">IF(OR(V189="",P189&lt;=0),"",IF(V189&lt;TODAY(),"期限切れ",IF(V189-TODAY()&lt;=設定!$C$4,"期限間近","")))</f>
        <v/>
      </c>
      <c r="X189" s="19"/>
      <c r="Y189" s="19"/>
      <c r="Z189" t="str">
        <f>IF(OR(T189="要発注",T189="欠品",T189="在庫異常"),COUNTIF($T$10:T189,"要発注")+COUNTIF($T$10:T189,"欠品")+COUNTIF($T$10:T189,"在庫異常"),"")</f>
        <v/>
      </c>
    </row>
    <row r="190" spans="2:26">
      <c r="B190" s="8" t="str">
        <f>IF(C190="","",COUNTA($C$10:C190))</f>
        <v/>
      </c>
      <c r="C190" s="9"/>
      <c r="D190" s="19"/>
      <c r="E190" s="19"/>
      <c r="F190" s="10"/>
      <c r="G190" s="11"/>
      <c r="H190" s="9"/>
      <c r="I190" s="11"/>
      <c r="J190" s="19"/>
      <c r="K190" s="12"/>
      <c r="L190" s="13" t="str">
        <f>IF(C190="","",SUMIFS(入出庫履歴!$G$10:$G$1009,入出庫履歴!$E$10:$E$1009,C190,入出庫履歴!$D$10:$D$1009,"入庫"))</f>
        <v/>
      </c>
      <c r="M190" s="13" t="str">
        <f>IF(C190="","",SUMIFS(入出庫履歴!$G$10:$G$1009,入出庫履歴!$E$10:$E$1009,C190,入出庫履歴!$D$10:$D$1009,"出庫"))</f>
        <v/>
      </c>
      <c r="N190" s="13" t="str">
        <f>IF(C190="","",SUMIFS(入出庫履歴!$G$10:$G$1009,入出庫履歴!$E$10:$E$1009,C190,入出庫履歴!$D$10:$D$1009,"廃棄"))</f>
        <v/>
      </c>
      <c r="O190" s="14" t="str">
        <f>IF(C190="","",SUMIFS(入出庫履歴!$G$10:$G$1009,入出庫履歴!$E$10:$E$1009,C190,入出庫履歴!$D$10:$D$1009,"棚卸調整"))</f>
        <v/>
      </c>
      <c r="P190" s="13" t="str">
        <f t="shared" si="8"/>
        <v/>
      </c>
      <c r="Q190" s="15" t="str">
        <f t="shared" si="9"/>
        <v/>
      </c>
      <c r="R190" s="16"/>
      <c r="S190" s="16"/>
      <c r="T190" s="17" t="str">
        <f t="shared" si="10"/>
        <v/>
      </c>
      <c r="U190" s="13" t="str">
        <f t="shared" si="11"/>
        <v/>
      </c>
      <c r="V190" s="18" t="str">
        <f>IF(C190="","",IF(_xlfn.MINIFS(入出庫履歴!$K$10:$K$1009,入出庫履歴!$E$10:$E$1009,C190,入出庫履歴!$N$10:$N$1009,"&gt;0")=0,"",_xlfn.MINIFS(入出庫履歴!$K$10:$K$1009,入出庫履歴!$E$10:$E$1009,C190,入出庫履歴!$N$10:$N$1009,"&gt;0")))</f>
        <v/>
      </c>
      <c r="W190" s="17" t="str">
        <f ca="1">IF(OR(V190="",P190&lt;=0),"",IF(V190&lt;TODAY(),"期限切れ",IF(V190-TODAY()&lt;=設定!$C$4,"期限間近","")))</f>
        <v/>
      </c>
      <c r="X190" s="19"/>
      <c r="Y190" s="19"/>
      <c r="Z190" t="str">
        <f>IF(OR(T190="要発注",T190="欠品",T190="在庫異常"),COUNTIF($T$10:T190,"要発注")+COUNTIF($T$10:T190,"欠品")+COUNTIF($T$10:T190,"在庫異常"),"")</f>
        <v/>
      </c>
    </row>
    <row r="191" spans="2:26">
      <c r="B191" s="8" t="str">
        <f>IF(C191="","",COUNTA($C$10:C191))</f>
        <v/>
      </c>
      <c r="C191" s="9"/>
      <c r="D191" s="19"/>
      <c r="E191" s="19"/>
      <c r="F191" s="10"/>
      <c r="G191" s="11"/>
      <c r="H191" s="9"/>
      <c r="I191" s="11"/>
      <c r="J191" s="19"/>
      <c r="K191" s="12"/>
      <c r="L191" s="13" t="str">
        <f>IF(C191="","",SUMIFS(入出庫履歴!$G$10:$G$1009,入出庫履歴!$E$10:$E$1009,C191,入出庫履歴!$D$10:$D$1009,"入庫"))</f>
        <v/>
      </c>
      <c r="M191" s="13" t="str">
        <f>IF(C191="","",SUMIFS(入出庫履歴!$G$10:$G$1009,入出庫履歴!$E$10:$E$1009,C191,入出庫履歴!$D$10:$D$1009,"出庫"))</f>
        <v/>
      </c>
      <c r="N191" s="13" t="str">
        <f>IF(C191="","",SUMIFS(入出庫履歴!$G$10:$G$1009,入出庫履歴!$E$10:$E$1009,C191,入出庫履歴!$D$10:$D$1009,"廃棄"))</f>
        <v/>
      </c>
      <c r="O191" s="14" t="str">
        <f>IF(C191="","",SUMIFS(入出庫履歴!$G$10:$G$1009,入出庫履歴!$E$10:$E$1009,C191,入出庫履歴!$D$10:$D$1009,"棚卸調整"))</f>
        <v/>
      </c>
      <c r="P191" s="13" t="str">
        <f t="shared" si="8"/>
        <v/>
      </c>
      <c r="Q191" s="15" t="str">
        <f t="shared" si="9"/>
        <v/>
      </c>
      <c r="R191" s="16"/>
      <c r="S191" s="16"/>
      <c r="T191" s="17" t="str">
        <f t="shared" si="10"/>
        <v/>
      </c>
      <c r="U191" s="13" t="str">
        <f t="shared" si="11"/>
        <v/>
      </c>
      <c r="V191" s="18" t="str">
        <f>IF(C191="","",IF(_xlfn.MINIFS(入出庫履歴!$K$10:$K$1009,入出庫履歴!$E$10:$E$1009,C191,入出庫履歴!$N$10:$N$1009,"&gt;0")=0,"",_xlfn.MINIFS(入出庫履歴!$K$10:$K$1009,入出庫履歴!$E$10:$E$1009,C191,入出庫履歴!$N$10:$N$1009,"&gt;0")))</f>
        <v/>
      </c>
      <c r="W191" s="17" t="str">
        <f ca="1">IF(OR(V191="",P191&lt;=0),"",IF(V191&lt;TODAY(),"期限切れ",IF(V191-TODAY()&lt;=設定!$C$4,"期限間近","")))</f>
        <v/>
      </c>
      <c r="X191" s="19"/>
      <c r="Y191" s="19"/>
      <c r="Z191" t="str">
        <f>IF(OR(T191="要発注",T191="欠品",T191="在庫異常"),COUNTIF($T$10:T191,"要発注")+COUNTIF($T$10:T191,"欠品")+COUNTIF($T$10:T191,"在庫異常"),"")</f>
        <v/>
      </c>
    </row>
    <row r="192" spans="2:26">
      <c r="B192" s="8" t="str">
        <f>IF(C192="","",COUNTA($C$10:C192))</f>
        <v/>
      </c>
      <c r="C192" s="9"/>
      <c r="D192" s="19"/>
      <c r="E192" s="19"/>
      <c r="F192" s="10"/>
      <c r="G192" s="11"/>
      <c r="H192" s="9"/>
      <c r="I192" s="11"/>
      <c r="J192" s="19"/>
      <c r="K192" s="12"/>
      <c r="L192" s="13" t="str">
        <f>IF(C192="","",SUMIFS(入出庫履歴!$G$10:$G$1009,入出庫履歴!$E$10:$E$1009,C192,入出庫履歴!$D$10:$D$1009,"入庫"))</f>
        <v/>
      </c>
      <c r="M192" s="13" t="str">
        <f>IF(C192="","",SUMIFS(入出庫履歴!$G$10:$G$1009,入出庫履歴!$E$10:$E$1009,C192,入出庫履歴!$D$10:$D$1009,"出庫"))</f>
        <v/>
      </c>
      <c r="N192" s="13" t="str">
        <f>IF(C192="","",SUMIFS(入出庫履歴!$G$10:$G$1009,入出庫履歴!$E$10:$E$1009,C192,入出庫履歴!$D$10:$D$1009,"廃棄"))</f>
        <v/>
      </c>
      <c r="O192" s="14" t="str">
        <f>IF(C192="","",SUMIFS(入出庫履歴!$G$10:$G$1009,入出庫履歴!$E$10:$E$1009,C192,入出庫履歴!$D$10:$D$1009,"棚卸調整"))</f>
        <v/>
      </c>
      <c r="P192" s="13" t="str">
        <f t="shared" si="8"/>
        <v/>
      </c>
      <c r="Q192" s="15" t="str">
        <f t="shared" si="9"/>
        <v/>
      </c>
      <c r="R192" s="16"/>
      <c r="S192" s="16"/>
      <c r="T192" s="17" t="str">
        <f t="shared" si="10"/>
        <v/>
      </c>
      <c r="U192" s="13" t="str">
        <f t="shared" si="11"/>
        <v/>
      </c>
      <c r="V192" s="18" t="str">
        <f>IF(C192="","",IF(_xlfn.MINIFS(入出庫履歴!$K$10:$K$1009,入出庫履歴!$E$10:$E$1009,C192,入出庫履歴!$N$10:$N$1009,"&gt;0")=0,"",_xlfn.MINIFS(入出庫履歴!$K$10:$K$1009,入出庫履歴!$E$10:$E$1009,C192,入出庫履歴!$N$10:$N$1009,"&gt;0")))</f>
        <v/>
      </c>
      <c r="W192" s="17" t="str">
        <f ca="1">IF(OR(V192="",P192&lt;=0),"",IF(V192&lt;TODAY(),"期限切れ",IF(V192-TODAY()&lt;=設定!$C$4,"期限間近","")))</f>
        <v/>
      </c>
      <c r="X192" s="19"/>
      <c r="Y192" s="19"/>
      <c r="Z192" t="str">
        <f>IF(OR(T192="要発注",T192="欠品",T192="在庫異常"),COUNTIF($T$10:T192,"要発注")+COUNTIF($T$10:T192,"欠品")+COUNTIF($T$10:T192,"在庫異常"),"")</f>
        <v/>
      </c>
    </row>
    <row r="193" spans="2:26">
      <c r="B193" s="8" t="str">
        <f>IF(C193="","",COUNTA($C$10:C193))</f>
        <v/>
      </c>
      <c r="C193" s="9"/>
      <c r="D193" s="19"/>
      <c r="E193" s="19"/>
      <c r="F193" s="10"/>
      <c r="G193" s="11"/>
      <c r="H193" s="9"/>
      <c r="I193" s="11"/>
      <c r="J193" s="19"/>
      <c r="K193" s="12"/>
      <c r="L193" s="13" t="str">
        <f>IF(C193="","",SUMIFS(入出庫履歴!$G$10:$G$1009,入出庫履歴!$E$10:$E$1009,C193,入出庫履歴!$D$10:$D$1009,"入庫"))</f>
        <v/>
      </c>
      <c r="M193" s="13" t="str">
        <f>IF(C193="","",SUMIFS(入出庫履歴!$G$10:$G$1009,入出庫履歴!$E$10:$E$1009,C193,入出庫履歴!$D$10:$D$1009,"出庫"))</f>
        <v/>
      </c>
      <c r="N193" s="13" t="str">
        <f>IF(C193="","",SUMIFS(入出庫履歴!$G$10:$G$1009,入出庫履歴!$E$10:$E$1009,C193,入出庫履歴!$D$10:$D$1009,"廃棄"))</f>
        <v/>
      </c>
      <c r="O193" s="14" t="str">
        <f>IF(C193="","",SUMIFS(入出庫履歴!$G$10:$G$1009,入出庫履歴!$E$10:$E$1009,C193,入出庫履歴!$D$10:$D$1009,"棚卸調整"))</f>
        <v/>
      </c>
      <c r="P193" s="13" t="str">
        <f t="shared" si="8"/>
        <v/>
      </c>
      <c r="Q193" s="15" t="str">
        <f t="shared" si="9"/>
        <v/>
      </c>
      <c r="R193" s="16"/>
      <c r="S193" s="16"/>
      <c r="T193" s="17" t="str">
        <f t="shared" si="10"/>
        <v/>
      </c>
      <c r="U193" s="13" t="str">
        <f t="shared" si="11"/>
        <v/>
      </c>
      <c r="V193" s="18" t="str">
        <f>IF(C193="","",IF(_xlfn.MINIFS(入出庫履歴!$K$10:$K$1009,入出庫履歴!$E$10:$E$1009,C193,入出庫履歴!$N$10:$N$1009,"&gt;0")=0,"",_xlfn.MINIFS(入出庫履歴!$K$10:$K$1009,入出庫履歴!$E$10:$E$1009,C193,入出庫履歴!$N$10:$N$1009,"&gt;0")))</f>
        <v/>
      </c>
      <c r="W193" s="17" t="str">
        <f ca="1">IF(OR(V193="",P193&lt;=0),"",IF(V193&lt;TODAY(),"期限切れ",IF(V193-TODAY()&lt;=設定!$C$4,"期限間近","")))</f>
        <v/>
      </c>
      <c r="X193" s="19"/>
      <c r="Y193" s="19"/>
      <c r="Z193" t="str">
        <f>IF(OR(T193="要発注",T193="欠品",T193="在庫異常"),COUNTIF($T$10:T193,"要発注")+COUNTIF($T$10:T193,"欠品")+COUNTIF($T$10:T193,"在庫異常"),"")</f>
        <v/>
      </c>
    </row>
    <row r="194" spans="2:26">
      <c r="B194" s="8" t="str">
        <f>IF(C194="","",COUNTA($C$10:C194))</f>
        <v/>
      </c>
      <c r="C194" s="9"/>
      <c r="D194" s="19"/>
      <c r="E194" s="19"/>
      <c r="F194" s="10"/>
      <c r="G194" s="11"/>
      <c r="H194" s="9"/>
      <c r="I194" s="11"/>
      <c r="J194" s="19"/>
      <c r="K194" s="12"/>
      <c r="L194" s="13" t="str">
        <f>IF(C194="","",SUMIFS(入出庫履歴!$G$10:$G$1009,入出庫履歴!$E$10:$E$1009,C194,入出庫履歴!$D$10:$D$1009,"入庫"))</f>
        <v/>
      </c>
      <c r="M194" s="13" t="str">
        <f>IF(C194="","",SUMIFS(入出庫履歴!$G$10:$G$1009,入出庫履歴!$E$10:$E$1009,C194,入出庫履歴!$D$10:$D$1009,"出庫"))</f>
        <v/>
      </c>
      <c r="N194" s="13" t="str">
        <f>IF(C194="","",SUMIFS(入出庫履歴!$G$10:$G$1009,入出庫履歴!$E$10:$E$1009,C194,入出庫履歴!$D$10:$D$1009,"廃棄"))</f>
        <v/>
      </c>
      <c r="O194" s="14" t="str">
        <f>IF(C194="","",SUMIFS(入出庫履歴!$G$10:$G$1009,入出庫履歴!$E$10:$E$1009,C194,入出庫履歴!$D$10:$D$1009,"棚卸調整"))</f>
        <v/>
      </c>
      <c r="P194" s="13" t="str">
        <f t="shared" si="8"/>
        <v/>
      </c>
      <c r="Q194" s="15" t="str">
        <f t="shared" si="9"/>
        <v/>
      </c>
      <c r="R194" s="16"/>
      <c r="S194" s="16"/>
      <c r="T194" s="17" t="str">
        <f t="shared" si="10"/>
        <v/>
      </c>
      <c r="U194" s="13" t="str">
        <f t="shared" si="11"/>
        <v/>
      </c>
      <c r="V194" s="18" t="str">
        <f>IF(C194="","",IF(_xlfn.MINIFS(入出庫履歴!$K$10:$K$1009,入出庫履歴!$E$10:$E$1009,C194,入出庫履歴!$N$10:$N$1009,"&gt;0")=0,"",_xlfn.MINIFS(入出庫履歴!$K$10:$K$1009,入出庫履歴!$E$10:$E$1009,C194,入出庫履歴!$N$10:$N$1009,"&gt;0")))</f>
        <v/>
      </c>
      <c r="W194" s="17" t="str">
        <f ca="1">IF(OR(V194="",P194&lt;=0),"",IF(V194&lt;TODAY(),"期限切れ",IF(V194-TODAY()&lt;=設定!$C$4,"期限間近","")))</f>
        <v/>
      </c>
      <c r="X194" s="19"/>
      <c r="Y194" s="19"/>
      <c r="Z194" t="str">
        <f>IF(OR(T194="要発注",T194="欠品",T194="在庫異常"),COUNTIF($T$10:T194,"要発注")+COUNTIF($T$10:T194,"欠品")+COUNTIF($T$10:T194,"在庫異常"),"")</f>
        <v/>
      </c>
    </row>
    <row r="195" spans="2:26">
      <c r="B195" s="8" t="str">
        <f>IF(C195="","",COUNTA($C$10:C195))</f>
        <v/>
      </c>
      <c r="C195" s="9"/>
      <c r="D195" s="19"/>
      <c r="E195" s="19"/>
      <c r="F195" s="10"/>
      <c r="G195" s="11"/>
      <c r="H195" s="9"/>
      <c r="I195" s="11"/>
      <c r="J195" s="19"/>
      <c r="K195" s="12"/>
      <c r="L195" s="13" t="str">
        <f>IF(C195="","",SUMIFS(入出庫履歴!$G$10:$G$1009,入出庫履歴!$E$10:$E$1009,C195,入出庫履歴!$D$10:$D$1009,"入庫"))</f>
        <v/>
      </c>
      <c r="M195" s="13" t="str">
        <f>IF(C195="","",SUMIFS(入出庫履歴!$G$10:$G$1009,入出庫履歴!$E$10:$E$1009,C195,入出庫履歴!$D$10:$D$1009,"出庫"))</f>
        <v/>
      </c>
      <c r="N195" s="13" t="str">
        <f>IF(C195="","",SUMIFS(入出庫履歴!$G$10:$G$1009,入出庫履歴!$E$10:$E$1009,C195,入出庫履歴!$D$10:$D$1009,"廃棄"))</f>
        <v/>
      </c>
      <c r="O195" s="14" t="str">
        <f>IF(C195="","",SUMIFS(入出庫履歴!$G$10:$G$1009,入出庫履歴!$E$10:$E$1009,C195,入出庫履歴!$D$10:$D$1009,"棚卸調整"))</f>
        <v/>
      </c>
      <c r="P195" s="13" t="str">
        <f t="shared" si="8"/>
        <v/>
      </c>
      <c r="Q195" s="15" t="str">
        <f t="shared" si="9"/>
        <v/>
      </c>
      <c r="R195" s="16"/>
      <c r="S195" s="16"/>
      <c r="T195" s="17" t="str">
        <f t="shared" si="10"/>
        <v/>
      </c>
      <c r="U195" s="13" t="str">
        <f t="shared" si="11"/>
        <v/>
      </c>
      <c r="V195" s="18" t="str">
        <f>IF(C195="","",IF(_xlfn.MINIFS(入出庫履歴!$K$10:$K$1009,入出庫履歴!$E$10:$E$1009,C195,入出庫履歴!$N$10:$N$1009,"&gt;0")=0,"",_xlfn.MINIFS(入出庫履歴!$K$10:$K$1009,入出庫履歴!$E$10:$E$1009,C195,入出庫履歴!$N$10:$N$1009,"&gt;0")))</f>
        <v/>
      </c>
      <c r="W195" s="17" t="str">
        <f ca="1">IF(OR(V195="",P195&lt;=0),"",IF(V195&lt;TODAY(),"期限切れ",IF(V195-TODAY()&lt;=設定!$C$4,"期限間近","")))</f>
        <v/>
      </c>
      <c r="X195" s="19"/>
      <c r="Y195" s="19"/>
      <c r="Z195" t="str">
        <f>IF(OR(T195="要発注",T195="欠品",T195="在庫異常"),COUNTIF($T$10:T195,"要発注")+COUNTIF($T$10:T195,"欠品")+COUNTIF($T$10:T195,"在庫異常"),"")</f>
        <v/>
      </c>
    </row>
    <row r="196" spans="2:26">
      <c r="B196" s="8" t="str">
        <f>IF(C196="","",COUNTA($C$10:C196))</f>
        <v/>
      </c>
      <c r="C196" s="9"/>
      <c r="D196" s="19"/>
      <c r="E196" s="19"/>
      <c r="F196" s="10"/>
      <c r="G196" s="11"/>
      <c r="H196" s="9"/>
      <c r="I196" s="11"/>
      <c r="J196" s="19"/>
      <c r="K196" s="12"/>
      <c r="L196" s="13" t="str">
        <f>IF(C196="","",SUMIFS(入出庫履歴!$G$10:$G$1009,入出庫履歴!$E$10:$E$1009,C196,入出庫履歴!$D$10:$D$1009,"入庫"))</f>
        <v/>
      </c>
      <c r="M196" s="13" t="str">
        <f>IF(C196="","",SUMIFS(入出庫履歴!$G$10:$G$1009,入出庫履歴!$E$10:$E$1009,C196,入出庫履歴!$D$10:$D$1009,"出庫"))</f>
        <v/>
      </c>
      <c r="N196" s="13" t="str">
        <f>IF(C196="","",SUMIFS(入出庫履歴!$G$10:$G$1009,入出庫履歴!$E$10:$E$1009,C196,入出庫履歴!$D$10:$D$1009,"廃棄"))</f>
        <v/>
      </c>
      <c r="O196" s="14" t="str">
        <f>IF(C196="","",SUMIFS(入出庫履歴!$G$10:$G$1009,入出庫履歴!$E$10:$E$1009,C196,入出庫履歴!$D$10:$D$1009,"棚卸調整"))</f>
        <v/>
      </c>
      <c r="P196" s="13" t="str">
        <f t="shared" si="8"/>
        <v/>
      </c>
      <c r="Q196" s="15" t="str">
        <f t="shared" si="9"/>
        <v/>
      </c>
      <c r="R196" s="16"/>
      <c r="S196" s="16"/>
      <c r="T196" s="17" t="str">
        <f t="shared" si="10"/>
        <v/>
      </c>
      <c r="U196" s="13" t="str">
        <f t="shared" si="11"/>
        <v/>
      </c>
      <c r="V196" s="18" t="str">
        <f>IF(C196="","",IF(_xlfn.MINIFS(入出庫履歴!$K$10:$K$1009,入出庫履歴!$E$10:$E$1009,C196,入出庫履歴!$N$10:$N$1009,"&gt;0")=0,"",_xlfn.MINIFS(入出庫履歴!$K$10:$K$1009,入出庫履歴!$E$10:$E$1009,C196,入出庫履歴!$N$10:$N$1009,"&gt;0")))</f>
        <v/>
      </c>
      <c r="W196" s="17" t="str">
        <f ca="1">IF(OR(V196="",P196&lt;=0),"",IF(V196&lt;TODAY(),"期限切れ",IF(V196-TODAY()&lt;=設定!$C$4,"期限間近","")))</f>
        <v/>
      </c>
      <c r="X196" s="19"/>
      <c r="Y196" s="19"/>
      <c r="Z196" t="str">
        <f>IF(OR(T196="要発注",T196="欠品",T196="在庫異常"),COUNTIF($T$10:T196,"要発注")+COUNTIF($T$10:T196,"欠品")+COUNTIF($T$10:T196,"在庫異常"),"")</f>
        <v/>
      </c>
    </row>
    <row r="197" spans="2:26">
      <c r="B197" s="8" t="str">
        <f>IF(C197="","",COUNTA($C$10:C197))</f>
        <v/>
      </c>
      <c r="C197" s="9"/>
      <c r="D197" s="19"/>
      <c r="E197" s="19"/>
      <c r="F197" s="10"/>
      <c r="G197" s="11"/>
      <c r="H197" s="9"/>
      <c r="I197" s="11"/>
      <c r="J197" s="19"/>
      <c r="K197" s="12"/>
      <c r="L197" s="13" t="str">
        <f>IF(C197="","",SUMIFS(入出庫履歴!$G$10:$G$1009,入出庫履歴!$E$10:$E$1009,C197,入出庫履歴!$D$10:$D$1009,"入庫"))</f>
        <v/>
      </c>
      <c r="M197" s="13" t="str">
        <f>IF(C197="","",SUMIFS(入出庫履歴!$G$10:$G$1009,入出庫履歴!$E$10:$E$1009,C197,入出庫履歴!$D$10:$D$1009,"出庫"))</f>
        <v/>
      </c>
      <c r="N197" s="13" t="str">
        <f>IF(C197="","",SUMIFS(入出庫履歴!$G$10:$G$1009,入出庫履歴!$E$10:$E$1009,C197,入出庫履歴!$D$10:$D$1009,"廃棄"))</f>
        <v/>
      </c>
      <c r="O197" s="14" t="str">
        <f>IF(C197="","",SUMIFS(入出庫履歴!$G$10:$G$1009,入出庫履歴!$E$10:$E$1009,C197,入出庫履歴!$D$10:$D$1009,"棚卸調整"))</f>
        <v/>
      </c>
      <c r="P197" s="13" t="str">
        <f t="shared" si="8"/>
        <v/>
      </c>
      <c r="Q197" s="15" t="str">
        <f t="shared" si="9"/>
        <v/>
      </c>
      <c r="R197" s="16"/>
      <c r="S197" s="16"/>
      <c r="T197" s="17" t="str">
        <f t="shared" si="10"/>
        <v/>
      </c>
      <c r="U197" s="13" t="str">
        <f t="shared" si="11"/>
        <v/>
      </c>
      <c r="V197" s="18" t="str">
        <f>IF(C197="","",IF(_xlfn.MINIFS(入出庫履歴!$K$10:$K$1009,入出庫履歴!$E$10:$E$1009,C197,入出庫履歴!$N$10:$N$1009,"&gt;0")=0,"",_xlfn.MINIFS(入出庫履歴!$K$10:$K$1009,入出庫履歴!$E$10:$E$1009,C197,入出庫履歴!$N$10:$N$1009,"&gt;0")))</f>
        <v/>
      </c>
      <c r="W197" s="17" t="str">
        <f ca="1">IF(OR(V197="",P197&lt;=0),"",IF(V197&lt;TODAY(),"期限切れ",IF(V197-TODAY()&lt;=設定!$C$4,"期限間近","")))</f>
        <v/>
      </c>
      <c r="X197" s="19"/>
      <c r="Y197" s="19"/>
      <c r="Z197" t="str">
        <f>IF(OR(T197="要発注",T197="欠品",T197="在庫異常"),COUNTIF($T$10:T197,"要発注")+COUNTIF($T$10:T197,"欠品")+COUNTIF($T$10:T197,"在庫異常"),"")</f>
        <v/>
      </c>
    </row>
    <row r="198" spans="2:26">
      <c r="B198" s="8" t="str">
        <f>IF(C198="","",COUNTA($C$10:C198))</f>
        <v/>
      </c>
      <c r="C198" s="9"/>
      <c r="D198" s="19"/>
      <c r="E198" s="19"/>
      <c r="F198" s="10"/>
      <c r="G198" s="11"/>
      <c r="H198" s="9"/>
      <c r="I198" s="11"/>
      <c r="J198" s="19"/>
      <c r="K198" s="12"/>
      <c r="L198" s="13" t="str">
        <f>IF(C198="","",SUMIFS(入出庫履歴!$G$10:$G$1009,入出庫履歴!$E$10:$E$1009,C198,入出庫履歴!$D$10:$D$1009,"入庫"))</f>
        <v/>
      </c>
      <c r="M198" s="13" t="str">
        <f>IF(C198="","",SUMIFS(入出庫履歴!$G$10:$G$1009,入出庫履歴!$E$10:$E$1009,C198,入出庫履歴!$D$10:$D$1009,"出庫"))</f>
        <v/>
      </c>
      <c r="N198" s="13" t="str">
        <f>IF(C198="","",SUMIFS(入出庫履歴!$G$10:$G$1009,入出庫履歴!$E$10:$E$1009,C198,入出庫履歴!$D$10:$D$1009,"廃棄"))</f>
        <v/>
      </c>
      <c r="O198" s="14" t="str">
        <f>IF(C198="","",SUMIFS(入出庫履歴!$G$10:$G$1009,入出庫履歴!$E$10:$E$1009,C198,入出庫履歴!$D$10:$D$1009,"棚卸調整"))</f>
        <v/>
      </c>
      <c r="P198" s="13" t="str">
        <f t="shared" si="8"/>
        <v/>
      </c>
      <c r="Q198" s="15" t="str">
        <f t="shared" si="9"/>
        <v/>
      </c>
      <c r="R198" s="16"/>
      <c r="S198" s="16"/>
      <c r="T198" s="17" t="str">
        <f t="shared" si="10"/>
        <v/>
      </c>
      <c r="U198" s="13" t="str">
        <f t="shared" si="11"/>
        <v/>
      </c>
      <c r="V198" s="18" t="str">
        <f>IF(C198="","",IF(_xlfn.MINIFS(入出庫履歴!$K$10:$K$1009,入出庫履歴!$E$10:$E$1009,C198,入出庫履歴!$N$10:$N$1009,"&gt;0")=0,"",_xlfn.MINIFS(入出庫履歴!$K$10:$K$1009,入出庫履歴!$E$10:$E$1009,C198,入出庫履歴!$N$10:$N$1009,"&gt;0")))</f>
        <v/>
      </c>
      <c r="W198" s="17" t="str">
        <f ca="1">IF(OR(V198="",P198&lt;=0),"",IF(V198&lt;TODAY(),"期限切れ",IF(V198-TODAY()&lt;=設定!$C$4,"期限間近","")))</f>
        <v/>
      </c>
      <c r="X198" s="19"/>
      <c r="Y198" s="19"/>
      <c r="Z198" t="str">
        <f>IF(OR(T198="要発注",T198="欠品",T198="在庫異常"),COUNTIF($T$10:T198,"要発注")+COUNTIF($T$10:T198,"欠品")+COUNTIF($T$10:T198,"在庫異常"),"")</f>
        <v/>
      </c>
    </row>
    <row r="199" spans="2:26">
      <c r="B199" s="8" t="str">
        <f>IF(C199="","",COUNTA($C$10:C199))</f>
        <v/>
      </c>
      <c r="C199" s="9"/>
      <c r="D199" s="19"/>
      <c r="E199" s="19"/>
      <c r="F199" s="10"/>
      <c r="G199" s="11"/>
      <c r="H199" s="9"/>
      <c r="I199" s="11"/>
      <c r="J199" s="19"/>
      <c r="K199" s="12"/>
      <c r="L199" s="13" t="str">
        <f>IF(C199="","",SUMIFS(入出庫履歴!$G$10:$G$1009,入出庫履歴!$E$10:$E$1009,C199,入出庫履歴!$D$10:$D$1009,"入庫"))</f>
        <v/>
      </c>
      <c r="M199" s="13" t="str">
        <f>IF(C199="","",SUMIFS(入出庫履歴!$G$10:$G$1009,入出庫履歴!$E$10:$E$1009,C199,入出庫履歴!$D$10:$D$1009,"出庫"))</f>
        <v/>
      </c>
      <c r="N199" s="13" t="str">
        <f>IF(C199="","",SUMIFS(入出庫履歴!$G$10:$G$1009,入出庫履歴!$E$10:$E$1009,C199,入出庫履歴!$D$10:$D$1009,"廃棄"))</f>
        <v/>
      </c>
      <c r="O199" s="14" t="str">
        <f>IF(C199="","",SUMIFS(入出庫履歴!$G$10:$G$1009,入出庫履歴!$E$10:$E$1009,C199,入出庫履歴!$D$10:$D$1009,"棚卸調整"))</f>
        <v/>
      </c>
      <c r="P199" s="13" t="str">
        <f t="shared" si="8"/>
        <v/>
      </c>
      <c r="Q199" s="15" t="str">
        <f t="shared" si="9"/>
        <v/>
      </c>
      <c r="R199" s="16"/>
      <c r="S199" s="16"/>
      <c r="T199" s="17" t="str">
        <f t="shared" si="10"/>
        <v/>
      </c>
      <c r="U199" s="13" t="str">
        <f t="shared" si="11"/>
        <v/>
      </c>
      <c r="V199" s="18" t="str">
        <f>IF(C199="","",IF(_xlfn.MINIFS(入出庫履歴!$K$10:$K$1009,入出庫履歴!$E$10:$E$1009,C199,入出庫履歴!$N$10:$N$1009,"&gt;0")=0,"",_xlfn.MINIFS(入出庫履歴!$K$10:$K$1009,入出庫履歴!$E$10:$E$1009,C199,入出庫履歴!$N$10:$N$1009,"&gt;0")))</f>
        <v/>
      </c>
      <c r="W199" s="17" t="str">
        <f ca="1">IF(OR(V199="",P199&lt;=0),"",IF(V199&lt;TODAY(),"期限切れ",IF(V199-TODAY()&lt;=設定!$C$4,"期限間近","")))</f>
        <v/>
      </c>
      <c r="X199" s="19"/>
      <c r="Y199" s="19"/>
      <c r="Z199" t="str">
        <f>IF(OR(T199="要発注",T199="欠品",T199="在庫異常"),COUNTIF($T$10:T199,"要発注")+COUNTIF($T$10:T199,"欠品")+COUNTIF($T$10:T199,"在庫異常"),"")</f>
        <v/>
      </c>
    </row>
    <row r="200" spans="2:26">
      <c r="B200" s="8" t="str">
        <f>IF(C200="","",COUNTA($C$10:C200))</f>
        <v/>
      </c>
      <c r="C200" s="9"/>
      <c r="D200" s="19"/>
      <c r="E200" s="19"/>
      <c r="F200" s="10"/>
      <c r="G200" s="11"/>
      <c r="H200" s="9"/>
      <c r="I200" s="11"/>
      <c r="J200" s="19"/>
      <c r="K200" s="12"/>
      <c r="L200" s="13" t="str">
        <f>IF(C200="","",SUMIFS(入出庫履歴!$G$10:$G$1009,入出庫履歴!$E$10:$E$1009,C200,入出庫履歴!$D$10:$D$1009,"入庫"))</f>
        <v/>
      </c>
      <c r="M200" s="13" t="str">
        <f>IF(C200="","",SUMIFS(入出庫履歴!$G$10:$G$1009,入出庫履歴!$E$10:$E$1009,C200,入出庫履歴!$D$10:$D$1009,"出庫"))</f>
        <v/>
      </c>
      <c r="N200" s="13" t="str">
        <f>IF(C200="","",SUMIFS(入出庫履歴!$G$10:$G$1009,入出庫履歴!$E$10:$E$1009,C200,入出庫履歴!$D$10:$D$1009,"廃棄"))</f>
        <v/>
      </c>
      <c r="O200" s="14" t="str">
        <f>IF(C200="","",SUMIFS(入出庫履歴!$G$10:$G$1009,入出庫履歴!$E$10:$E$1009,C200,入出庫履歴!$D$10:$D$1009,"棚卸調整"))</f>
        <v/>
      </c>
      <c r="P200" s="13" t="str">
        <f t="shared" si="8"/>
        <v/>
      </c>
      <c r="Q200" s="15" t="str">
        <f t="shared" si="9"/>
        <v/>
      </c>
      <c r="R200" s="16"/>
      <c r="S200" s="16"/>
      <c r="T200" s="17" t="str">
        <f t="shared" si="10"/>
        <v/>
      </c>
      <c r="U200" s="13" t="str">
        <f t="shared" si="11"/>
        <v/>
      </c>
      <c r="V200" s="18" t="str">
        <f>IF(C200="","",IF(_xlfn.MINIFS(入出庫履歴!$K$10:$K$1009,入出庫履歴!$E$10:$E$1009,C200,入出庫履歴!$N$10:$N$1009,"&gt;0")=0,"",_xlfn.MINIFS(入出庫履歴!$K$10:$K$1009,入出庫履歴!$E$10:$E$1009,C200,入出庫履歴!$N$10:$N$1009,"&gt;0")))</f>
        <v/>
      </c>
      <c r="W200" s="17" t="str">
        <f ca="1">IF(OR(V200="",P200&lt;=0),"",IF(V200&lt;TODAY(),"期限切れ",IF(V200-TODAY()&lt;=設定!$C$4,"期限間近","")))</f>
        <v/>
      </c>
      <c r="X200" s="19"/>
      <c r="Y200" s="19"/>
      <c r="Z200" t="str">
        <f>IF(OR(T200="要発注",T200="欠品",T200="在庫異常"),COUNTIF($T$10:T200,"要発注")+COUNTIF($T$10:T200,"欠品")+COUNTIF($T$10:T200,"在庫異常"),"")</f>
        <v/>
      </c>
    </row>
    <row r="201" spans="2:26">
      <c r="B201" s="8" t="str">
        <f>IF(C201="","",COUNTA($C$10:C201))</f>
        <v/>
      </c>
      <c r="C201" s="9"/>
      <c r="D201" s="19"/>
      <c r="E201" s="19"/>
      <c r="F201" s="10"/>
      <c r="G201" s="11"/>
      <c r="H201" s="9"/>
      <c r="I201" s="11"/>
      <c r="J201" s="19"/>
      <c r="K201" s="12"/>
      <c r="L201" s="13" t="str">
        <f>IF(C201="","",SUMIFS(入出庫履歴!$G$10:$G$1009,入出庫履歴!$E$10:$E$1009,C201,入出庫履歴!$D$10:$D$1009,"入庫"))</f>
        <v/>
      </c>
      <c r="M201" s="13" t="str">
        <f>IF(C201="","",SUMIFS(入出庫履歴!$G$10:$G$1009,入出庫履歴!$E$10:$E$1009,C201,入出庫履歴!$D$10:$D$1009,"出庫"))</f>
        <v/>
      </c>
      <c r="N201" s="13" t="str">
        <f>IF(C201="","",SUMIFS(入出庫履歴!$G$10:$G$1009,入出庫履歴!$E$10:$E$1009,C201,入出庫履歴!$D$10:$D$1009,"廃棄"))</f>
        <v/>
      </c>
      <c r="O201" s="14" t="str">
        <f>IF(C201="","",SUMIFS(入出庫履歴!$G$10:$G$1009,入出庫履歴!$E$10:$E$1009,C201,入出庫履歴!$D$10:$D$1009,"棚卸調整"))</f>
        <v/>
      </c>
      <c r="P201" s="13" t="str">
        <f t="shared" si="8"/>
        <v/>
      </c>
      <c r="Q201" s="15" t="str">
        <f t="shared" si="9"/>
        <v/>
      </c>
      <c r="R201" s="16"/>
      <c r="S201" s="16"/>
      <c r="T201" s="17" t="str">
        <f t="shared" si="10"/>
        <v/>
      </c>
      <c r="U201" s="13" t="str">
        <f t="shared" si="11"/>
        <v/>
      </c>
      <c r="V201" s="18" t="str">
        <f>IF(C201="","",IF(_xlfn.MINIFS(入出庫履歴!$K$10:$K$1009,入出庫履歴!$E$10:$E$1009,C201,入出庫履歴!$N$10:$N$1009,"&gt;0")=0,"",_xlfn.MINIFS(入出庫履歴!$K$10:$K$1009,入出庫履歴!$E$10:$E$1009,C201,入出庫履歴!$N$10:$N$1009,"&gt;0")))</f>
        <v/>
      </c>
      <c r="W201" s="17" t="str">
        <f ca="1">IF(OR(V201="",P201&lt;=0),"",IF(V201&lt;TODAY(),"期限切れ",IF(V201-TODAY()&lt;=設定!$C$4,"期限間近","")))</f>
        <v/>
      </c>
      <c r="X201" s="19"/>
      <c r="Y201" s="19"/>
      <c r="Z201" t="str">
        <f>IF(OR(T201="要発注",T201="欠品",T201="在庫異常"),COUNTIF($T$10:T201,"要発注")+COUNTIF($T$10:T201,"欠品")+COUNTIF($T$10:T201,"在庫異常"),"")</f>
        <v/>
      </c>
    </row>
    <row r="202" spans="2:26">
      <c r="B202" s="8" t="str">
        <f>IF(C202="","",COUNTA($C$10:C202))</f>
        <v/>
      </c>
      <c r="C202" s="9"/>
      <c r="D202" s="19"/>
      <c r="E202" s="19"/>
      <c r="F202" s="10"/>
      <c r="G202" s="11"/>
      <c r="H202" s="9"/>
      <c r="I202" s="11"/>
      <c r="J202" s="19"/>
      <c r="K202" s="12"/>
      <c r="L202" s="13" t="str">
        <f>IF(C202="","",SUMIFS(入出庫履歴!$G$10:$G$1009,入出庫履歴!$E$10:$E$1009,C202,入出庫履歴!$D$10:$D$1009,"入庫"))</f>
        <v/>
      </c>
      <c r="M202" s="13" t="str">
        <f>IF(C202="","",SUMIFS(入出庫履歴!$G$10:$G$1009,入出庫履歴!$E$10:$E$1009,C202,入出庫履歴!$D$10:$D$1009,"出庫"))</f>
        <v/>
      </c>
      <c r="N202" s="13" t="str">
        <f>IF(C202="","",SUMIFS(入出庫履歴!$G$10:$G$1009,入出庫履歴!$E$10:$E$1009,C202,入出庫履歴!$D$10:$D$1009,"廃棄"))</f>
        <v/>
      </c>
      <c r="O202" s="14" t="str">
        <f>IF(C202="","",SUMIFS(入出庫履歴!$G$10:$G$1009,入出庫履歴!$E$10:$E$1009,C202,入出庫履歴!$D$10:$D$1009,"棚卸調整"))</f>
        <v/>
      </c>
      <c r="P202" s="13" t="str">
        <f t="shared" ref="P202:P265" si="12">IF(C202="","",L202-M202-N202+O202)</f>
        <v/>
      </c>
      <c r="Q202" s="15" t="str">
        <f t="shared" ref="Q202:Q265" si="13">IF(OR(C202="",K202=""),"",ROUND(P202*K202,0))</f>
        <v/>
      </c>
      <c r="R202" s="16"/>
      <c r="S202" s="16"/>
      <c r="T202" s="17" t="str">
        <f t="shared" ref="T202:T265" si="14">IF(C202="","",IF(P202&lt;0,"在庫異常",IF(P202=0,"欠品",IF(AND(R202&lt;&gt;"",P202&lt;=R202),"要発注","適正"))))</f>
        <v/>
      </c>
      <c r="U202" s="13" t="str">
        <f t="shared" ref="U202:U265" si="15">IF(OR(T202="要発注",T202="欠品"),IF(S202&gt;0,CEILING(MAX(R202-P202,0)+S202*0.0001,S202),MAX(R202-P202,0)),"")</f>
        <v/>
      </c>
      <c r="V202" s="18" t="str">
        <f>IF(C202="","",IF(_xlfn.MINIFS(入出庫履歴!$K$10:$K$1009,入出庫履歴!$E$10:$E$1009,C202,入出庫履歴!$N$10:$N$1009,"&gt;0")=0,"",_xlfn.MINIFS(入出庫履歴!$K$10:$K$1009,入出庫履歴!$E$10:$E$1009,C202,入出庫履歴!$N$10:$N$1009,"&gt;0")))</f>
        <v/>
      </c>
      <c r="W202" s="17" t="str">
        <f ca="1">IF(OR(V202="",P202&lt;=0),"",IF(V202&lt;TODAY(),"期限切れ",IF(V202-TODAY()&lt;=設定!$C$4,"期限間近","")))</f>
        <v/>
      </c>
      <c r="X202" s="19"/>
      <c r="Y202" s="19"/>
      <c r="Z202" t="str">
        <f>IF(OR(T202="要発注",T202="欠品",T202="在庫異常"),COUNTIF($T$10:T202,"要発注")+COUNTIF($T$10:T202,"欠品")+COUNTIF($T$10:T202,"在庫異常"),"")</f>
        <v/>
      </c>
    </row>
    <row r="203" spans="2:26">
      <c r="B203" s="8" t="str">
        <f>IF(C203="","",COUNTA($C$10:C203))</f>
        <v/>
      </c>
      <c r="C203" s="9"/>
      <c r="D203" s="19"/>
      <c r="E203" s="19"/>
      <c r="F203" s="10"/>
      <c r="G203" s="11"/>
      <c r="H203" s="9"/>
      <c r="I203" s="11"/>
      <c r="J203" s="19"/>
      <c r="K203" s="12"/>
      <c r="L203" s="13" t="str">
        <f>IF(C203="","",SUMIFS(入出庫履歴!$G$10:$G$1009,入出庫履歴!$E$10:$E$1009,C203,入出庫履歴!$D$10:$D$1009,"入庫"))</f>
        <v/>
      </c>
      <c r="M203" s="13" t="str">
        <f>IF(C203="","",SUMIFS(入出庫履歴!$G$10:$G$1009,入出庫履歴!$E$10:$E$1009,C203,入出庫履歴!$D$10:$D$1009,"出庫"))</f>
        <v/>
      </c>
      <c r="N203" s="13" t="str">
        <f>IF(C203="","",SUMIFS(入出庫履歴!$G$10:$G$1009,入出庫履歴!$E$10:$E$1009,C203,入出庫履歴!$D$10:$D$1009,"廃棄"))</f>
        <v/>
      </c>
      <c r="O203" s="14" t="str">
        <f>IF(C203="","",SUMIFS(入出庫履歴!$G$10:$G$1009,入出庫履歴!$E$10:$E$1009,C203,入出庫履歴!$D$10:$D$1009,"棚卸調整"))</f>
        <v/>
      </c>
      <c r="P203" s="13" t="str">
        <f t="shared" si="12"/>
        <v/>
      </c>
      <c r="Q203" s="15" t="str">
        <f t="shared" si="13"/>
        <v/>
      </c>
      <c r="R203" s="16"/>
      <c r="S203" s="16"/>
      <c r="T203" s="17" t="str">
        <f t="shared" si="14"/>
        <v/>
      </c>
      <c r="U203" s="13" t="str">
        <f t="shared" si="15"/>
        <v/>
      </c>
      <c r="V203" s="18" t="str">
        <f>IF(C203="","",IF(_xlfn.MINIFS(入出庫履歴!$K$10:$K$1009,入出庫履歴!$E$10:$E$1009,C203,入出庫履歴!$N$10:$N$1009,"&gt;0")=0,"",_xlfn.MINIFS(入出庫履歴!$K$10:$K$1009,入出庫履歴!$E$10:$E$1009,C203,入出庫履歴!$N$10:$N$1009,"&gt;0")))</f>
        <v/>
      </c>
      <c r="W203" s="17" t="str">
        <f ca="1">IF(OR(V203="",P203&lt;=0),"",IF(V203&lt;TODAY(),"期限切れ",IF(V203-TODAY()&lt;=設定!$C$4,"期限間近","")))</f>
        <v/>
      </c>
      <c r="X203" s="19"/>
      <c r="Y203" s="19"/>
      <c r="Z203" t="str">
        <f>IF(OR(T203="要発注",T203="欠品",T203="在庫異常"),COUNTIF($T$10:T203,"要発注")+COUNTIF($T$10:T203,"欠品")+COUNTIF($T$10:T203,"在庫異常"),"")</f>
        <v/>
      </c>
    </row>
    <row r="204" spans="2:26">
      <c r="B204" s="8" t="str">
        <f>IF(C204="","",COUNTA($C$10:C204))</f>
        <v/>
      </c>
      <c r="C204" s="9"/>
      <c r="D204" s="19"/>
      <c r="E204" s="19"/>
      <c r="F204" s="10"/>
      <c r="G204" s="11"/>
      <c r="H204" s="9"/>
      <c r="I204" s="11"/>
      <c r="J204" s="19"/>
      <c r="K204" s="12"/>
      <c r="L204" s="13" t="str">
        <f>IF(C204="","",SUMIFS(入出庫履歴!$G$10:$G$1009,入出庫履歴!$E$10:$E$1009,C204,入出庫履歴!$D$10:$D$1009,"入庫"))</f>
        <v/>
      </c>
      <c r="M204" s="13" t="str">
        <f>IF(C204="","",SUMIFS(入出庫履歴!$G$10:$G$1009,入出庫履歴!$E$10:$E$1009,C204,入出庫履歴!$D$10:$D$1009,"出庫"))</f>
        <v/>
      </c>
      <c r="N204" s="13" t="str">
        <f>IF(C204="","",SUMIFS(入出庫履歴!$G$10:$G$1009,入出庫履歴!$E$10:$E$1009,C204,入出庫履歴!$D$10:$D$1009,"廃棄"))</f>
        <v/>
      </c>
      <c r="O204" s="14" t="str">
        <f>IF(C204="","",SUMIFS(入出庫履歴!$G$10:$G$1009,入出庫履歴!$E$10:$E$1009,C204,入出庫履歴!$D$10:$D$1009,"棚卸調整"))</f>
        <v/>
      </c>
      <c r="P204" s="13" t="str">
        <f t="shared" si="12"/>
        <v/>
      </c>
      <c r="Q204" s="15" t="str">
        <f t="shared" si="13"/>
        <v/>
      </c>
      <c r="R204" s="16"/>
      <c r="S204" s="16"/>
      <c r="T204" s="17" t="str">
        <f t="shared" si="14"/>
        <v/>
      </c>
      <c r="U204" s="13" t="str">
        <f t="shared" si="15"/>
        <v/>
      </c>
      <c r="V204" s="18" t="str">
        <f>IF(C204="","",IF(_xlfn.MINIFS(入出庫履歴!$K$10:$K$1009,入出庫履歴!$E$10:$E$1009,C204,入出庫履歴!$N$10:$N$1009,"&gt;0")=0,"",_xlfn.MINIFS(入出庫履歴!$K$10:$K$1009,入出庫履歴!$E$10:$E$1009,C204,入出庫履歴!$N$10:$N$1009,"&gt;0")))</f>
        <v/>
      </c>
      <c r="W204" s="17" t="str">
        <f ca="1">IF(OR(V204="",P204&lt;=0),"",IF(V204&lt;TODAY(),"期限切れ",IF(V204-TODAY()&lt;=設定!$C$4,"期限間近","")))</f>
        <v/>
      </c>
      <c r="X204" s="19"/>
      <c r="Y204" s="19"/>
      <c r="Z204" t="str">
        <f>IF(OR(T204="要発注",T204="欠品",T204="在庫異常"),COUNTIF($T$10:T204,"要発注")+COUNTIF($T$10:T204,"欠品")+COUNTIF($T$10:T204,"在庫異常"),"")</f>
        <v/>
      </c>
    </row>
    <row r="205" spans="2:26">
      <c r="B205" s="8" t="str">
        <f>IF(C205="","",COUNTA($C$10:C205))</f>
        <v/>
      </c>
      <c r="C205" s="9"/>
      <c r="D205" s="19"/>
      <c r="E205" s="19"/>
      <c r="F205" s="10"/>
      <c r="G205" s="11"/>
      <c r="H205" s="9"/>
      <c r="I205" s="11"/>
      <c r="J205" s="19"/>
      <c r="K205" s="12"/>
      <c r="L205" s="13" t="str">
        <f>IF(C205="","",SUMIFS(入出庫履歴!$G$10:$G$1009,入出庫履歴!$E$10:$E$1009,C205,入出庫履歴!$D$10:$D$1009,"入庫"))</f>
        <v/>
      </c>
      <c r="M205" s="13" t="str">
        <f>IF(C205="","",SUMIFS(入出庫履歴!$G$10:$G$1009,入出庫履歴!$E$10:$E$1009,C205,入出庫履歴!$D$10:$D$1009,"出庫"))</f>
        <v/>
      </c>
      <c r="N205" s="13" t="str">
        <f>IF(C205="","",SUMIFS(入出庫履歴!$G$10:$G$1009,入出庫履歴!$E$10:$E$1009,C205,入出庫履歴!$D$10:$D$1009,"廃棄"))</f>
        <v/>
      </c>
      <c r="O205" s="14" t="str">
        <f>IF(C205="","",SUMIFS(入出庫履歴!$G$10:$G$1009,入出庫履歴!$E$10:$E$1009,C205,入出庫履歴!$D$10:$D$1009,"棚卸調整"))</f>
        <v/>
      </c>
      <c r="P205" s="13" t="str">
        <f t="shared" si="12"/>
        <v/>
      </c>
      <c r="Q205" s="15" t="str">
        <f t="shared" si="13"/>
        <v/>
      </c>
      <c r="R205" s="16"/>
      <c r="S205" s="16"/>
      <c r="T205" s="17" t="str">
        <f t="shared" si="14"/>
        <v/>
      </c>
      <c r="U205" s="13" t="str">
        <f t="shared" si="15"/>
        <v/>
      </c>
      <c r="V205" s="18" t="str">
        <f>IF(C205="","",IF(_xlfn.MINIFS(入出庫履歴!$K$10:$K$1009,入出庫履歴!$E$10:$E$1009,C205,入出庫履歴!$N$10:$N$1009,"&gt;0")=0,"",_xlfn.MINIFS(入出庫履歴!$K$10:$K$1009,入出庫履歴!$E$10:$E$1009,C205,入出庫履歴!$N$10:$N$1009,"&gt;0")))</f>
        <v/>
      </c>
      <c r="W205" s="17" t="str">
        <f ca="1">IF(OR(V205="",P205&lt;=0),"",IF(V205&lt;TODAY(),"期限切れ",IF(V205-TODAY()&lt;=設定!$C$4,"期限間近","")))</f>
        <v/>
      </c>
      <c r="X205" s="19"/>
      <c r="Y205" s="19"/>
      <c r="Z205" t="str">
        <f>IF(OR(T205="要発注",T205="欠品",T205="在庫異常"),COUNTIF($T$10:T205,"要発注")+COUNTIF($T$10:T205,"欠品")+COUNTIF($T$10:T205,"在庫異常"),"")</f>
        <v/>
      </c>
    </row>
    <row r="206" spans="2:26">
      <c r="B206" s="8" t="str">
        <f>IF(C206="","",COUNTA($C$10:C206))</f>
        <v/>
      </c>
      <c r="C206" s="9"/>
      <c r="D206" s="19"/>
      <c r="E206" s="19"/>
      <c r="F206" s="10"/>
      <c r="G206" s="11"/>
      <c r="H206" s="9"/>
      <c r="I206" s="11"/>
      <c r="J206" s="19"/>
      <c r="K206" s="12"/>
      <c r="L206" s="13" t="str">
        <f>IF(C206="","",SUMIFS(入出庫履歴!$G$10:$G$1009,入出庫履歴!$E$10:$E$1009,C206,入出庫履歴!$D$10:$D$1009,"入庫"))</f>
        <v/>
      </c>
      <c r="M206" s="13" t="str">
        <f>IF(C206="","",SUMIFS(入出庫履歴!$G$10:$G$1009,入出庫履歴!$E$10:$E$1009,C206,入出庫履歴!$D$10:$D$1009,"出庫"))</f>
        <v/>
      </c>
      <c r="N206" s="13" t="str">
        <f>IF(C206="","",SUMIFS(入出庫履歴!$G$10:$G$1009,入出庫履歴!$E$10:$E$1009,C206,入出庫履歴!$D$10:$D$1009,"廃棄"))</f>
        <v/>
      </c>
      <c r="O206" s="14" t="str">
        <f>IF(C206="","",SUMIFS(入出庫履歴!$G$10:$G$1009,入出庫履歴!$E$10:$E$1009,C206,入出庫履歴!$D$10:$D$1009,"棚卸調整"))</f>
        <v/>
      </c>
      <c r="P206" s="13" t="str">
        <f t="shared" si="12"/>
        <v/>
      </c>
      <c r="Q206" s="15" t="str">
        <f t="shared" si="13"/>
        <v/>
      </c>
      <c r="R206" s="16"/>
      <c r="S206" s="16"/>
      <c r="T206" s="17" t="str">
        <f t="shared" si="14"/>
        <v/>
      </c>
      <c r="U206" s="13" t="str">
        <f t="shared" si="15"/>
        <v/>
      </c>
      <c r="V206" s="18" t="str">
        <f>IF(C206="","",IF(_xlfn.MINIFS(入出庫履歴!$K$10:$K$1009,入出庫履歴!$E$10:$E$1009,C206,入出庫履歴!$N$10:$N$1009,"&gt;0")=0,"",_xlfn.MINIFS(入出庫履歴!$K$10:$K$1009,入出庫履歴!$E$10:$E$1009,C206,入出庫履歴!$N$10:$N$1009,"&gt;0")))</f>
        <v/>
      </c>
      <c r="W206" s="17" t="str">
        <f ca="1">IF(OR(V206="",P206&lt;=0),"",IF(V206&lt;TODAY(),"期限切れ",IF(V206-TODAY()&lt;=設定!$C$4,"期限間近","")))</f>
        <v/>
      </c>
      <c r="X206" s="19"/>
      <c r="Y206" s="19"/>
      <c r="Z206" t="str">
        <f>IF(OR(T206="要発注",T206="欠品",T206="在庫異常"),COUNTIF($T$10:T206,"要発注")+COUNTIF($T$10:T206,"欠品")+COUNTIF($T$10:T206,"在庫異常"),"")</f>
        <v/>
      </c>
    </row>
    <row r="207" spans="2:26">
      <c r="B207" s="8" t="str">
        <f>IF(C207="","",COUNTA($C$10:C207))</f>
        <v/>
      </c>
      <c r="C207" s="9"/>
      <c r="D207" s="19"/>
      <c r="E207" s="19"/>
      <c r="F207" s="10"/>
      <c r="G207" s="11"/>
      <c r="H207" s="9"/>
      <c r="I207" s="11"/>
      <c r="J207" s="19"/>
      <c r="K207" s="12"/>
      <c r="L207" s="13" t="str">
        <f>IF(C207="","",SUMIFS(入出庫履歴!$G$10:$G$1009,入出庫履歴!$E$10:$E$1009,C207,入出庫履歴!$D$10:$D$1009,"入庫"))</f>
        <v/>
      </c>
      <c r="M207" s="13" t="str">
        <f>IF(C207="","",SUMIFS(入出庫履歴!$G$10:$G$1009,入出庫履歴!$E$10:$E$1009,C207,入出庫履歴!$D$10:$D$1009,"出庫"))</f>
        <v/>
      </c>
      <c r="N207" s="13" t="str">
        <f>IF(C207="","",SUMIFS(入出庫履歴!$G$10:$G$1009,入出庫履歴!$E$10:$E$1009,C207,入出庫履歴!$D$10:$D$1009,"廃棄"))</f>
        <v/>
      </c>
      <c r="O207" s="14" t="str">
        <f>IF(C207="","",SUMIFS(入出庫履歴!$G$10:$G$1009,入出庫履歴!$E$10:$E$1009,C207,入出庫履歴!$D$10:$D$1009,"棚卸調整"))</f>
        <v/>
      </c>
      <c r="P207" s="13" t="str">
        <f t="shared" si="12"/>
        <v/>
      </c>
      <c r="Q207" s="15" t="str">
        <f t="shared" si="13"/>
        <v/>
      </c>
      <c r="R207" s="16"/>
      <c r="S207" s="16"/>
      <c r="T207" s="17" t="str">
        <f t="shared" si="14"/>
        <v/>
      </c>
      <c r="U207" s="13" t="str">
        <f t="shared" si="15"/>
        <v/>
      </c>
      <c r="V207" s="18" t="str">
        <f>IF(C207="","",IF(_xlfn.MINIFS(入出庫履歴!$K$10:$K$1009,入出庫履歴!$E$10:$E$1009,C207,入出庫履歴!$N$10:$N$1009,"&gt;0")=0,"",_xlfn.MINIFS(入出庫履歴!$K$10:$K$1009,入出庫履歴!$E$10:$E$1009,C207,入出庫履歴!$N$10:$N$1009,"&gt;0")))</f>
        <v/>
      </c>
      <c r="W207" s="17" t="str">
        <f ca="1">IF(OR(V207="",P207&lt;=0),"",IF(V207&lt;TODAY(),"期限切れ",IF(V207-TODAY()&lt;=設定!$C$4,"期限間近","")))</f>
        <v/>
      </c>
      <c r="X207" s="19"/>
      <c r="Y207" s="19"/>
      <c r="Z207" t="str">
        <f>IF(OR(T207="要発注",T207="欠品",T207="在庫異常"),COUNTIF($T$10:T207,"要発注")+COUNTIF($T$10:T207,"欠品")+COUNTIF($T$10:T207,"在庫異常"),"")</f>
        <v/>
      </c>
    </row>
    <row r="208" spans="2:26">
      <c r="B208" s="8" t="str">
        <f>IF(C208="","",COUNTA($C$10:C208))</f>
        <v/>
      </c>
      <c r="C208" s="9"/>
      <c r="D208" s="19"/>
      <c r="E208" s="19"/>
      <c r="F208" s="10"/>
      <c r="G208" s="11"/>
      <c r="H208" s="9"/>
      <c r="I208" s="11"/>
      <c r="J208" s="19"/>
      <c r="K208" s="12"/>
      <c r="L208" s="13" t="str">
        <f>IF(C208="","",SUMIFS(入出庫履歴!$G$10:$G$1009,入出庫履歴!$E$10:$E$1009,C208,入出庫履歴!$D$10:$D$1009,"入庫"))</f>
        <v/>
      </c>
      <c r="M208" s="13" t="str">
        <f>IF(C208="","",SUMIFS(入出庫履歴!$G$10:$G$1009,入出庫履歴!$E$10:$E$1009,C208,入出庫履歴!$D$10:$D$1009,"出庫"))</f>
        <v/>
      </c>
      <c r="N208" s="13" t="str">
        <f>IF(C208="","",SUMIFS(入出庫履歴!$G$10:$G$1009,入出庫履歴!$E$10:$E$1009,C208,入出庫履歴!$D$10:$D$1009,"廃棄"))</f>
        <v/>
      </c>
      <c r="O208" s="14" t="str">
        <f>IF(C208="","",SUMIFS(入出庫履歴!$G$10:$G$1009,入出庫履歴!$E$10:$E$1009,C208,入出庫履歴!$D$10:$D$1009,"棚卸調整"))</f>
        <v/>
      </c>
      <c r="P208" s="13" t="str">
        <f t="shared" si="12"/>
        <v/>
      </c>
      <c r="Q208" s="15" t="str">
        <f t="shared" si="13"/>
        <v/>
      </c>
      <c r="R208" s="16"/>
      <c r="S208" s="16"/>
      <c r="T208" s="17" t="str">
        <f t="shared" si="14"/>
        <v/>
      </c>
      <c r="U208" s="13" t="str">
        <f t="shared" si="15"/>
        <v/>
      </c>
      <c r="V208" s="18" t="str">
        <f>IF(C208="","",IF(_xlfn.MINIFS(入出庫履歴!$K$10:$K$1009,入出庫履歴!$E$10:$E$1009,C208,入出庫履歴!$N$10:$N$1009,"&gt;0")=0,"",_xlfn.MINIFS(入出庫履歴!$K$10:$K$1009,入出庫履歴!$E$10:$E$1009,C208,入出庫履歴!$N$10:$N$1009,"&gt;0")))</f>
        <v/>
      </c>
      <c r="W208" s="17" t="str">
        <f ca="1">IF(OR(V208="",P208&lt;=0),"",IF(V208&lt;TODAY(),"期限切れ",IF(V208-TODAY()&lt;=設定!$C$4,"期限間近","")))</f>
        <v/>
      </c>
      <c r="X208" s="19"/>
      <c r="Y208" s="19"/>
      <c r="Z208" t="str">
        <f>IF(OR(T208="要発注",T208="欠品",T208="在庫異常"),COUNTIF($T$10:T208,"要発注")+COUNTIF($T$10:T208,"欠品")+COUNTIF($T$10:T208,"在庫異常"),"")</f>
        <v/>
      </c>
    </row>
    <row r="209" spans="2:26">
      <c r="B209" s="8" t="str">
        <f>IF(C209="","",COUNTA($C$10:C209))</f>
        <v/>
      </c>
      <c r="C209" s="9"/>
      <c r="D209" s="19"/>
      <c r="E209" s="19"/>
      <c r="F209" s="10"/>
      <c r="G209" s="11"/>
      <c r="H209" s="9"/>
      <c r="I209" s="11"/>
      <c r="J209" s="19"/>
      <c r="K209" s="12"/>
      <c r="L209" s="13" t="str">
        <f>IF(C209="","",SUMIFS(入出庫履歴!$G$10:$G$1009,入出庫履歴!$E$10:$E$1009,C209,入出庫履歴!$D$10:$D$1009,"入庫"))</f>
        <v/>
      </c>
      <c r="M209" s="13" t="str">
        <f>IF(C209="","",SUMIFS(入出庫履歴!$G$10:$G$1009,入出庫履歴!$E$10:$E$1009,C209,入出庫履歴!$D$10:$D$1009,"出庫"))</f>
        <v/>
      </c>
      <c r="N209" s="13" t="str">
        <f>IF(C209="","",SUMIFS(入出庫履歴!$G$10:$G$1009,入出庫履歴!$E$10:$E$1009,C209,入出庫履歴!$D$10:$D$1009,"廃棄"))</f>
        <v/>
      </c>
      <c r="O209" s="14" t="str">
        <f>IF(C209="","",SUMIFS(入出庫履歴!$G$10:$G$1009,入出庫履歴!$E$10:$E$1009,C209,入出庫履歴!$D$10:$D$1009,"棚卸調整"))</f>
        <v/>
      </c>
      <c r="P209" s="13" t="str">
        <f t="shared" si="12"/>
        <v/>
      </c>
      <c r="Q209" s="15" t="str">
        <f t="shared" si="13"/>
        <v/>
      </c>
      <c r="R209" s="16"/>
      <c r="S209" s="16"/>
      <c r="T209" s="17" t="str">
        <f t="shared" si="14"/>
        <v/>
      </c>
      <c r="U209" s="13" t="str">
        <f t="shared" si="15"/>
        <v/>
      </c>
      <c r="V209" s="18" t="str">
        <f>IF(C209="","",IF(_xlfn.MINIFS(入出庫履歴!$K$10:$K$1009,入出庫履歴!$E$10:$E$1009,C209,入出庫履歴!$N$10:$N$1009,"&gt;0")=0,"",_xlfn.MINIFS(入出庫履歴!$K$10:$K$1009,入出庫履歴!$E$10:$E$1009,C209,入出庫履歴!$N$10:$N$1009,"&gt;0")))</f>
        <v/>
      </c>
      <c r="W209" s="17" t="str">
        <f ca="1">IF(OR(V209="",P209&lt;=0),"",IF(V209&lt;TODAY(),"期限切れ",IF(V209-TODAY()&lt;=設定!$C$4,"期限間近","")))</f>
        <v/>
      </c>
      <c r="X209" s="19"/>
      <c r="Y209" s="19"/>
      <c r="Z209" t="str">
        <f>IF(OR(T209="要発注",T209="欠品",T209="在庫異常"),COUNTIF($T$10:T209,"要発注")+COUNTIF($T$10:T209,"欠品")+COUNTIF($T$10:T209,"在庫異常"),"")</f>
        <v/>
      </c>
    </row>
    <row r="210" spans="2:26">
      <c r="B210" s="8" t="str">
        <f>IF(C210="","",COUNTA($C$10:C210))</f>
        <v/>
      </c>
      <c r="C210" s="9"/>
      <c r="D210" s="19"/>
      <c r="E210" s="19"/>
      <c r="F210" s="10"/>
      <c r="G210" s="11"/>
      <c r="H210" s="9"/>
      <c r="I210" s="11"/>
      <c r="J210" s="19"/>
      <c r="K210" s="12"/>
      <c r="L210" s="13" t="str">
        <f>IF(C210="","",SUMIFS(入出庫履歴!$G$10:$G$1009,入出庫履歴!$E$10:$E$1009,C210,入出庫履歴!$D$10:$D$1009,"入庫"))</f>
        <v/>
      </c>
      <c r="M210" s="13" t="str">
        <f>IF(C210="","",SUMIFS(入出庫履歴!$G$10:$G$1009,入出庫履歴!$E$10:$E$1009,C210,入出庫履歴!$D$10:$D$1009,"出庫"))</f>
        <v/>
      </c>
      <c r="N210" s="13" t="str">
        <f>IF(C210="","",SUMIFS(入出庫履歴!$G$10:$G$1009,入出庫履歴!$E$10:$E$1009,C210,入出庫履歴!$D$10:$D$1009,"廃棄"))</f>
        <v/>
      </c>
      <c r="O210" s="14" t="str">
        <f>IF(C210="","",SUMIFS(入出庫履歴!$G$10:$G$1009,入出庫履歴!$E$10:$E$1009,C210,入出庫履歴!$D$10:$D$1009,"棚卸調整"))</f>
        <v/>
      </c>
      <c r="P210" s="13" t="str">
        <f t="shared" si="12"/>
        <v/>
      </c>
      <c r="Q210" s="15" t="str">
        <f t="shared" si="13"/>
        <v/>
      </c>
      <c r="R210" s="16"/>
      <c r="S210" s="16"/>
      <c r="T210" s="17" t="str">
        <f t="shared" si="14"/>
        <v/>
      </c>
      <c r="U210" s="13" t="str">
        <f t="shared" si="15"/>
        <v/>
      </c>
      <c r="V210" s="18" t="str">
        <f>IF(C210="","",IF(_xlfn.MINIFS(入出庫履歴!$K$10:$K$1009,入出庫履歴!$E$10:$E$1009,C210,入出庫履歴!$N$10:$N$1009,"&gt;0")=0,"",_xlfn.MINIFS(入出庫履歴!$K$10:$K$1009,入出庫履歴!$E$10:$E$1009,C210,入出庫履歴!$N$10:$N$1009,"&gt;0")))</f>
        <v/>
      </c>
      <c r="W210" s="17" t="str">
        <f ca="1">IF(OR(V210="",P210&lt;=0),"",IF(V210&lt;TODAY(),"期限切れ",IF(V210-TODAY()&lt;=設定!$C$4,"期限間近","")))</f>
        <v/>
      </c>
      <c r="X210" s="19"/>
      <c r="Y210" s="19"/>
      <c r="Z210" t="str">
        <f>IF(OR(T210="要発注",T210="欠品",T210="在庫異常"),COUNTIF($T$10:T210,"要発注")+COUNTIF($T$10:T210,"欠品")+COUNTIF($T$10:T210,"在庫異常"),"")</f>
        <v/>
      </c>
    </row>
    <row r="211" spans="2:26">
      <c r="B211" s="8" t="str">
        <f>IF(C211="","",COUNTA($C$10:C211))</f>
        <v/>
      </c>
      <c r="C211" s="9"/>
      <c r="D211" s="19"/>
      <c r="E211" s="19"/>
      <c r="F211" s="10"/>
      <c r="G211" s="11"/>
      <c r="H211" s="9"/>
      <c r="I211" s="11"/>
      <c r="J211" s="19"/>
      <c r="K211" s="12"/>
      <c r="L211" s="13" t="str">
        <f>IF(C211="","",SUMIFS(入出庫履歴!$G$10:$G$1009,入出庫履歴!$E$10:$E$1009,C211,入出庫履歴!$D$10:$D$1009,"入庫"))</f>
        <v/>
      </c>
      <c r="M211" s="13" t="str">
        <f>IF(C211="","",SUMIFS(入出庫履歴!$G$10:$G$1009,入出庫履歴!$E$10:$E$1009,C211,入出庫履歴!$D$10:$D$1009,"出庫"))</f>
        <v/>
      </c>
      <c r="N211" s="13" t="str">
        <f>IF(C211="","",SUMIFS(入出庫履歴!$G$10:$G$1009,入出庫履歴!$E$10:$E$1009,C211,入出庫履歴!$D$10:$D$1009,"廃棄"))</f>
        <v/>
      </c>
      <c r="O211" s="14" t="str">
        <f>IF(C211="","",SUMIFS(入出庫履歴!$G$10:$G$1009,入出庫履歴!$E$10:$E$1009,C211,入出庫履歴!$D$10:$D$1009,"棚卸調整"))</f>
        <v/>
      </c>
      <c r="P211" s="13" t="str">
        <f t="shared" si="12"/>
        <v/>
      </c>
      <c r="Q211" s="15" t="str">
        <f t="shared" si="13"/>
        <v/>
      </c>
      <c r="R211" s="16"/>
      <c r="S211" s="16"/>
      <c r="T211" s="17" t="str">
        <f t="shared" si="14"/>
        <v/>
      </c>
      <c r="U211" s="13" t="str">
        <f t="shared" si="15"/>
        <v/>
      </c>
      <c r="V211" s="18" t="str">
        <f>IF(C211="","",IF(_xlfn.MINIFS(入出庫履歴!$K$10:$K$1009,入出庫履歴!$E$10:$E$1009,C211,入出庫履歴!$N$10:$N$1009,"&gt;0")=0,"",_xlfn.MINIFS(入出庫履歴!$K$10:$K$1009,入出庫履歴!$E$10:$E$1009,C211,入出庫履歴!$N$10:$N$1009,"&gt;0")))</f>
        <v/>
      </c>
      <c r="W211" s="17" t="str">
        <f ca="1">IF(OR(V211="",P211&lt;=0),"",IF(V211&lt;TODAY(),"期限切れ",IF(V211-TODAY()&lt;=設定!$C$4,"期限間近","")))</f>
        <v/>
      </c>
      <c r="X211" s="19"/>
      <c r="Y211" s="19"/>
      <c r="Z211" t="str">
        <f>IF(OR(T211="要発注",T211="欠品",T211="在庫異常"),COUNTIF($T$10:T211,"要発注")+COUNTIF($T$10:T211,"欠品")+COUNTIF($T$10:T211,"在庫異常"),"")</f>
        <v/>
      </c>
    </row>
    <row r="212" spans="2:26">
      <c r="B212" s="8" t="str">
        <f>IF(C212="","",COUNTA($C$10:C212))</f>
        <v/>
      </c>
      <c r="C212" s="9"/>
      <c r="D212" s="19"/>
      <c r="E212" s="19"/>
      <c r="F212" s="10"/>
      <c r="G212" s="11"/>
      <c r="H212" s="9"/>
      <c r="I212" s="11"/>
      <c r="J212" s="19"/>
      <c r="K212" s="12"/>
      <c r="L212" s="13" t="str">
        <f>IF(C212="","",SUMIFS(入出庫履歴!$G$10:$G$1009,入出庫履歴!$E$10:$E$1009,C212,入出庫履歴!$D$10:$D$1009,"入庫"))</f>
        <v/>
      </c>
      <c r="M212" s="13" t="str">
        <f>IF(C212="","",SUMIFS(入出庫履歴!$G$10:$G$1009,入出庫履歴!$E$10:$E$1009,C212,入出庫履歴!$D$10:$D$1009,"出庫"))</f>
        <v/>
      </c>
      <c r="N212" s="13" t="str">
        <f>IF(C212="","",SUMIFS(入出庫履歴!$G$10:$G$1009,入出庫履歴!$E$10:$E$1009,C212,入出庫履歴!$D$10:$D$1009,"廃棄"))</f>
        <v/>
      </c>
      <c r="O212" s="14" t="str">
        <f>IF(C212="","",SUMIFS(入出庫履歴!$G$10:$G$1009,入出庫履歴!$E$10:$E$1009,C212,入出庫履歴!$D$10:$D$1009,"棚卸調整"))</f>
        <v/>
      </c>
      <c r="P212" s="13" t="str">
        <f t="shared" si="12"/>
        <v/>
      </c>
      <c r="Q212" s="15" t="str">
        <f t="shared" si="13"/>
        <v/>
      </c>
      <c r="R212" s="16"/>
      <c r="S212" s="16"/>
      <c r="T212" s="17" t="str">
        <f t="shared" si="14"/>
        <v/>
      </c>
      <c r="U212" s="13" t="str">
        <f t="shared" si="15"/>
        <v/>
      </c>
      <c r="V212" s="18" t="str">
        <f>IF(C212="","",IF(_xlfn.MINIFS(入出庫履歴!$K$10:$K$1009,入出庫履歴!$E$10:$E$1009,C212,入出庫履歴!$N$10:$N$1009,"&gt;0")=0,"",_xlfn.MINIFS(入出庫履歴!$K$10:$K$1009,入出庫履歴!$E$10:$E$1009,C212,入出庫履歴!$N$10:$N$1009,"&gt;0")))</f>
        <v/>
      </c>
      <c r="W212" s="17" t="str">
        <f ca="1">IF(OR(V212="",P212&lt;=0),"",IF(V212&lt;TODAY(),"期限切れ",IF(V212-TODAY()&lt;=設定!$C$4,"期限間近","")))</f>
        <v/>
      </c>
      <c r="X212" s="19"/>
      <c r="Y212" s="19"/>
      <c r="Z212" t="str">
        <f>IF(OR(T212="要発注",T212="欠品",T212="在庫異常"),COUNTIF($T$10:T212,"要発注")+COUNTIF($T$10:T212,"欠品")+COUNTIF($T$10:T212,"在庫異常"),"")</f>
        <v/>
      </c>
    </row>
    <row r="213" spans="2:26">
      <c r="B213" s="8" t="str">
        <f>IF(C213="","",COUNTA($C$10:C213))</f>
        <v/>
      </c>
      <c r="C213" s="9"/>
      <c r="D213" s="19"/>
      <c r="E213" s="19"/>
      <c r="F213" s="10"/>
      <c r="G213" s="11"/>
      <c r="H213" s="9"/>
      <c r="I213" s="11"/>
      <c r="J213" s="19"/>
      <c r="K213" s="12"/>
      <c r="L213" s="13" t="str">
        <f>IF(C213="","",SUMIFS(入出庫履歴!$G$10:$G$1009,入出庫履歴!$E$10:$E$1009,C213,入出庫履歴!$D$10:$D$1009,"入庫"))</f>
        <v/>
      </c>
      <c r="M213" s="13" t="str">
        <f>IF(C213="","",SUMIFS(入出庫履歴!$G$10:$G$1009,入出庫履歴!$E$10:$E$1009,C213,入出庫履歴!$D$10:$D$1009,"出庫"))</f>
        <v/>
      </c>
      <c r="N213" s="13" t="str">
        <f>IF(C213="","",SUMIFS(入出庫履歴!$G$10:$G$1009,入出庫履歴!$E$10:$E$1009,C213,入出庫履歴!$D$10:$D$1009,"廃棄"))</f>
        <v/>
      </c>
      <c r="O213" s="14" t="str">
        <f>IF(C213="","",SUMIFS(入出庫履歴!$G$10:$G$1009,入出庫履歴!$E$10:$E$1009,C213,入出庫履歴!$D$10:$D$1009,"棚卸調整"))</f>
        <v/>
      </c>
      <c r="P213" s="13" t="str">
        <f t="shared" si="12"/>
        <v/>
      </c>
      <c r="Q213" s="15" t="str">
        <f t="shared" si="13"/>
        <v/>
      </c>
      <c r="R213" s="16"/>
      <c r="S213" s="16"/>
      <c r="T213" s="17" t="str">
        <f t="shared" si="14"/>
        <v/>
      </c>
      <c r="U213" s="13" t="str">
        <f t="shared" si="15"/>
        <v/>
      </c>
      <c r="V213" s="18" t="str">
        <f>IF(C213="","",IF(_xlfn.MINIFS(入出庫履歴!$K$10:$K$1009,入出庫履歴!$E$10:$E$1009,C213,入出庫履歴!$N$10:$N$1009,"&gt;0")=0,"",_xlfn.MINIFS(入出庫履歴!$K$10:$K$1009,入出庫履歴!$E$10:$E$1009,C213,入出庫履歴!$N$10:$N$1009,"&gt;0")))</f>
        <v/>
      </c>
      <c r="W213" s="17" t="str">
        <f ca="1">IF(OR(V213="",P213&lt;=0),"",IF(V213&lt;TODAY(),"期限切れ",IF(V213-TODAY()&lt;=設定!$C$4,"期限間近","")))</f>
        <v/>
      </c>
      <c r="X213" s="19"/>
      <c r="Y213" s="19"/>
      <c r="Z213" t="str">
        <f>IF(OR(T213="要発注",T213="欠品",T213="在庫異常"),COUNTIF($T$10:T213,"要発注")+COUNTIF($T$10:T213,"欠品")+COUNTIF($T$10:T213,"在庫異常"),"")</f>
        <v/>
      </c>
    </row>
    <row r="214" spans="2:26">
      <c r="B214" s="8" t="str">
        <f>IF(C214="","",COUNTA($C$10:C214))</f>
        <v/>
      </c>
      <c r="C214" s="9"/>
      <c r="D214" s="19"/>
      <c r="E214" s="19"/>
      <c r="F214" s="10"/>
      <c r="G214" s="11"/>
      <c r="H214" s="9"/>
      <c r="I214" s="11"/>
      <c r="J214" s="19"/>
      <c r="K214" s="12"/>
      <c r="L214" s="13" t="str">
        <f>IF(C214="","",SUMIFS(入出庫履歴!$G$10:$G$1009,入出庫履歴!$E$10:$E$1009,C214,入出庫履歴!$D$10:$D$1009,"入庫"))</f>
        <v/>
      </c>
      <c r="M214" s="13" t="str">
        <f>IF(C214="","",SUMIFS(入出庫履歴!$G$10:$G$1009,入出庫履歴!$E$10:$E$1009,C214,入出庫履歴!$D$10:$D$1009,"出庫"))</f>
        <v/>
      </c>
      <c r="N214" s="13" t="str">
        <f>IF(C214="","",SUMIFS(入出庫履歴!$G$10:$G$1009,入出庫履歴!$E$10:$E$1009,C214,入出庫履歴!$D$10:$D$1009,"廃棄"))</f>
        <v/>
      </c>
      <c r="O214" s="14" t="str">
        <f>IF(C214="","",SUMIFS(入出庫履歴!$G$10:$G$1009,入出庫履歴!$E$10:$E$1009,C214,入出庫履歴!$D$10:$D$1009,"棚卸調整"))</f>
        <v/>
      </c>
      <c r="P214" s="13" t="str">
        <f t="shared" si="12"/>
        <v/>
      </c>
      <c r="Q214" s="15" t="str">
        <f t="shared" si="13"/>
        <v/>
      </c>
      <c r="R214" s="16"/>
      <c r="S214" s="16"/>
      <c r="T214" s="17" t="str">
        <f t="shared" si="14"/>
        <v/>
      </c>
      <c r="U214" s="13" t="str">
        <f t="shared" si="15"/>
        <v/>
      </c>
      <c r="V214" s="18" t="str">
        <f>IF(C214="","",IF(_xlfn.MINIFS(入出庫履歴!$K$10:$K$1009,入出庫履歴!$E$10:$E$1009,C214,入出庫履歴!$N$10:$N$1009,"&gt;0")=0,"",_xlfn.MINIFS(入出庫履歴!$K$10:$K$1009,入出庫履歴!$E$10:$E$1009,C214,入出庫履歴!$N$10:$N$1009,"&gt;0")))</f>
        <v/>
      </c>
      <c r="W214" s="17" t="str">
        <f ca="1">IF(OR(V214="",P214&lt;=0),"",IF(V214&lt;TODAY(),"期限切れ",IF(V214-TODAY()&lt;=設定!$C$4,"期限間近","")))</f>
        <v/>
      </c>
      <c r="X214" s="19"/>
      <c r="Y214" s="19"/>
      <c r="Z214" t="str">
        <f>IF(OR(T214="要発注",T214="欠品",T214="在庫異常"),COUNTIF($T$10:T214,"要発注")+COUNTIF($T$10:T214,"欠品")+COUNTIF($T$10:T214,"在庫異常"),"")</f>
        <v/>
      </c>
    </row>
    <row r="215" spans="2:26">
      <c r="B215" s="8" t="str">
        <f>IF(C215="","",COUNTA($C$10:C215))</f>
        <v/>
      </c>
      <c r="C215" s="9"/>
      <c r="D215" s="19"/>
      <c r="E215" s="19"/>
      <c r="F215" s="10"/>
      <c r="G215" s="11"/>
      <c r="H215" s="9"/>
      <c r="I215" s="11"/>
      <c r="J215" s="19"/>
      <c r="K215" s="12"/>
      <c r="L215" s="13" t="str">
        <f>IF(C215="","",SUMIFS(入出庫履歴!$G$10:$G$1009,入出庫履歴!$E$10:$E$1009,C215,入出庫履歴!$D$10:$D$1009,"入庫"))</f>
        <v/>
      </c>
      <c r="M215" s="13" t="str">
        <f>IF(C215="","",SUMIFS(入出庫履歴!$G$10:$G$1009,入出庫履歴!$E$10:$E$1009,C215,入出庫履歴!$D$10:$D$1009,"出庫"))</f>
        <v/>
      </c>
      <c r="N215" s="13" t="str">
        <f>IF(C215="","",SUMIFS(入出庫履歴!$G$10:$G$1009,入出庫履歴!$E$10:$E$1009,C215,入出庫履歴!$D$10:$D$1009,"廃棄"))</f>
        <v/>
      </c>
      <c r="O215" s="14" t="str">
        <f>IF(C215="","",SUMIFS(入出庫履歴!$G$10:$G$1009,入出庫履歴!$E$10:$E$1009,C215,入出庫履歴!$D$10:$D$1009,"棚卸調整"))</f>
        <v/>
      </c>
      <c r="P215" s="13" t="str">
        <f t="shared" si="12"/>
        <v/>
      </c>
      <c r="Q215" s="15" t="str">
        <f t="shared" si="13"/>
        <v/>
      </c>
      <c r="R215" s="16"/>
      <c r="S215" s="16"/>
      <c r="T215" s="17" t="str">
        <f t="shared" si="14"/>
        <v/>
      </c>
      <c r="U215" s="13" t="str">
        <f t="shared" si="15"/>
        <v/>
      </c>
      <c r="V215" s="18" t="str">
        <f>IF(C215="","",IF(_xlfn.MINIFS(入出庫履歴!$K$10:$K$1009,入出庫履歴!$E$10:$E$1009,C215,入出庫履歴!$N$10:$N$1009,"&gt;0")=0,"",_xlfn.MINIFS(入出庫履歴!$K$10:$K$1009,入出庫履歴!$E$10:$E$1009,C215,入出庫履歴!$N$10:$N$1009,"&gt;0")))</f>
        <v/>
      </c>
      <c r="W215" s="17" t="str">
        <f ca="1">IF(OR(V215="",P215&lt;=0),"",IF(V215&lt;TODAY(),"期限切れ",IF(V215-TODAY()&lt;=設定!$C$4,"期限間近","")))</f>
        <v/>
      </c>
      <c r="X215" s="19"/>
      <c r="Y215" s="19"/>
      <c r="Z215" t="str">
        <f>IF(OR(T215="要発注",T215="欠品",T215="在庫異常"),COUNTIF($T$10:T215,"要発注")+COUNTIF($T$10:T215,"欠品")+COUNTIF($T$10:T215,"在庫異常"),"")</f>
        <v/>
      </c>
    </row>
    <row r="216" spans="2:26">
      <c r="B216" s="8" t="str">
        <f>IF(C216="","",COUNTA($C$10:C216))</f>
        <v/>
      </c>
      <c r="C216" s="9"/>
      <c r="D216" s="19"/>
      <c r="E216" s="19"/>
      <c r="F216" s="10"/>
      <c r="G216" s="11"/>
      <c r="H216" s="9"/>
      <c r="I216" s="11"/>
      <c r="J216" s="19"/>
      <c r="K216" s="12"/>
      <c r="L216" s="13" t="str">
        <f>IF(C216="","",SUMIFS(入出庫履歴!$G$10:$G$1009,入出庫履歴!$E$10:$E$1009,C216,入出庫履歴!$D$10:$D$1009,"入庫"))</f>
        <v/>
      </c>
      <c r="M216" s="13" t="str">
        <f>IF(C216="","",SUMIFS(入出庫履歴!$G$10:$G$1009,入出庫履歴!$E$10:$E$1009,C216,入出庫履歴!$D$10:$D$1009,"出庫"))</f>
        <v/>
      </c>
      <c r="N216" s="13" t="str">
        <f>IF(C216="","",SUMIFS(入出庫履歴!$G$10:$G$1009,入出庫履歴!$E$10:$E$1009,C216,入出庫履歴!$D$10:$D$1009,"廃棄"))</f>
        <v/>
      </c>
      <c r="O216" s="14" t="str">
        <f>IF(C216="","",SUMIFS(入出庫履歴!$G$10:$G$1009,入出庫履歴!$E$10:$E$1009,C216,入出庫履歴!$D$10:$D$1009,"棚卸調整"))</f>
        <v/>
      </c>
      <c r="P216" s="13" t="str">
        <f t="shared" si="12"/>
        <v/>
      </c>
      <c r="Q216" s="15" t="str">
        <f t="shared" si="13"/>
        <v/>
      </c>
      <c r="R216" s="16"/>
      <c r="S216" s="16"/>
      <c r="T216" s="17" t="str">
        <f t="shared" si="14"/>
        <v/>
      </c>
      <c r="U216" s="13" t="str">
        <f t="shared" si="15"/>
        <v/>
      </c>
      <c r="V216" s="18" t="str">
        <f>IF(C216="","",IF(_xlfn.MINIFS(入出庫履歴!$K$10:$K$1009,入出庫履歴!$E$10:$E$1009,C216,入出庫履歴!$N$10:$N$1009,"&gt;0")=0,"",_xlfn.MINIFS(入出庫履歴!$K$10:$K$1009,入出庫履歴!$E$10:$E$1009,C216,入出庫履歴!$N$10:$N$1009,"&gt;0")))</f>
        <v/>
      </c>
      <c r="W216" s="17" t="str">
        <f ca="1">IF(OR(V216="",P216&lt;=0),"",IF(V216&lt;TODAY(),"期限切れ",IF(V216-TODAY()&lt;=設定!$C$4,"期限間近","")))</f>
        <v/>
      </c>
      <c r="X216" s="19"/>
      <c r="Y216" s="19"/>
      <c r="Z216" t="str">
        <f>IF(OR(T216="要発注",T216="欠品",T216="在庫異常"),COUNTIF($T$10:T216,"要発注")+COUNTIF($T$10:T216,"欠品")+COUNTIF($T$10:T216,"在庫異常"),"")</f>
        <v/>
      </c>
    </row>
    <row r="217" spans="2:26">
      <c r="B217" s="8" t="str">
        <f>IF(C217="","",COUNTA($C$10:C217))</f>
        <v/>
      </c>
      <c r="C217" s="9"/>
      <c r="D217" s="19"/>
      <c r="E217" s="19"/>
      <c r="F217" s="10"/>
      <c r="G217" s="11"/>
      <c r="H217" s="9"/>
      <c r="I217" s="11"/>
      <c r="J217" s="19"/>
      <c r="K217" s="12"/>
      <c r="L217" s="13" t="str">
        <f>IF(C217="","",SUMIFS(入出庫履歴!$G$10:$G$1009,入出庫履歴!$E$10:$E$1009,C217,入出庫履歴!$D$10:$D$1009,"入庫"))</f>
        <v/>
      </c>
      <c r="M217" s="13" t="str">
        <f>IF(C217="","",SUMIFS(入出庫履歴!$G$10:$G$1009,入出庫履歴!$E$10:$E$1009,C217,入出庫履歴!$D$10:$D$1009,"出庫"))</f>
        <v/>
      </c>
      <c r="N217" s="13" t="str">
        <f>IF(C217="","",SUMIFS(入出庫履歴!$G$10:$G$1009,入出庫履歴!$E$10:$E$1009,C217,入出庫履歴!$D$10:$D$1009,"廃棄"))</f>
        <v/>
      </c>
      <c r="O217" s="14" t="str">
        <f>IF(C217="","",SUMIFS(入出庫履歴!$G$10:$G$1009,入出庫履歴!$E$10:$E$1009,C217,入出庫履歴!$D$10:$D$1009,"棚卸調整"))</f>
        <v/>
      </c>
      <c r="P217" s="13" t="str">
        <f t="shared" si="12"/>
        <v/>
      </c>
      <c r="Q217" s="15" t="str">
        <f t="shared" si="13"/>
        <v/>
      </c>
      <c r="R217" s="16"/>
      <c r="S217" s="16"/>
      <c r="T217" s="17" t="str">
        <f t="shared" si="14"/>
        <v/>
      </c>
      <c r="U217" s="13" t="str">
        <f t="shared" si="15"/>
        <v/>
      </c>
      <c r="V217" s="18" t="str">
        <f>IF(C217="","",IF(_xlfn.MINIFS(入出庫履歴!$K$10:$K$1009,入出庫履歴!$E$10:$E$1009,C217,入出庫履歴!$N$10:$N$1009,"&gt;0")=0,"",_xlfn.MINIFS(入出庫履歴!$K$10:$K$1009,入出庫履歴!$E$10:$E$1009,C217,入出庫履歴!$N$10:$N$1009,"&gt;0")))</f>
        <v/>
      </c>
      <c r="W217" s="17" t="str">
        <f ca="1">IF(OR(V217="",P217&lt;=0),"",IF(V217&lt;TODAY(),"期限切れ",IF(V217-TODAY()&lt;=設定!$C$4,"期限間近","")))</f>
        <v/>
      </c>
      <c r="X217" s="19"/>
      <c r="Y217" s="19"/>
      <c r="Z217" t="str">
        <f>IF(OR(T217="要発注",T217="欠品",T217="在庫異常"),COUNTIF($T$10:T217,"要発注")+COUNTIF($T$10:T217,"欠品")+COUNTIF($T$10:T217,"在庫異常"),"")</f>
        <v/>
      </c>
    </row>
    <row r="218" spans="2:26">
      <c r="B218" s="8" t="str">
        <f>IF(C218="","",COUNTA($C$10:C218))</f>
        <v/>
      </c>
      <c r="C218" s="9"/>
      <c r="D218" s="19"/>
      <c r="E218" s="19"/>
      <c r="F218" s="10"/>
      <c r="G218" s="11"/>
      <c r="H218" s="9"/>
      <c r="I218" s="11"/>
      <c r="J218" s="19"/>
      <c r="K218" s="12"/>
      <c r="L218" s="13" t="str">
        <f>IF(C218="","",SUMIFS(入出庫履歴!$G$10:$G$1009,入出庫履歴!$E$10:$E$1009,C218,入出庫履歴!$D$10:$D$1009,"入庫"))</f>
        <v/>
      </c>
      <c r="M218" s="13" t="str">
        <f>IF(C218="","",SUMIFS(入出庫履歴!$G$10:$G$1009,入出庫履歴!$E$10:$E$1009,C218,入出庫履歴!$D$10:$D$1009,"出庫"))</f>
        <v/>
      </c>
      <c r="N218" s="13" t="str">
        <f>IF(C218="","",SUMIFS(入出庫履歴!$G$10:$G$1009,入出庫履歴!$E$10:$E$1009,C218,入出庫履歴!$D$10:$D$1009,"廃棄"))</f>
        <v/>
      </c>
      <c r="O218" s="14" t="str">
        <f>IF(C218="","",SUMIFS(入出庫履歴!$G$10:$G$1009,入出庫履歴!$E$10:$E$1009,C218,入出庫履歴!$D$10:$D$1009,"棚卸調整"))</f>
        <v/>
      </c>
      <c r="P218" s="13" t="str">
        <f t="shared" si="12"/>
        <v/>
      </c>
      <c r="Q218" s="15" t="str">
        <f t="shared" si="13"/>
        <v/>
      </c>
      <c r="R218" s="16"/>
      <c r="S218" s="16"/>
      <c r="T218" s="17" t="str">
        <f t="shared" si="14"/>
        <v/>
      </c>
      <c r="U218" s="13" t="str">
        <f t="shared" si="15"/>
        <v/>
      </c>
      <c r="V218" s="18" t="str">
        <f>IF(C218="","",IF(_xlfn.MINIFS(入出庫履歴!$K$10:$K$1009,入出庫履歴!$E$10:$E$1009,C218,入出庫履歴!$N$10:$N$1009,"&gt;0")=0,"",_xlfn.MINIFS(入出庫履歴!$K$10:$K$1009,入出庫履歴!$E$10:$E$1009,C218,入出庫履歴!$N$10:$N$1009,"&gt;0")))</f>
        <v/>
      </c>
      <c r="W218" s="17" t="str">
        <f ca="1">IF(OR(V218="",P218&lt;=0),"",IF(V218&lt;TODAY(),"期限切れ",IF(V218-TODAY()&lt;=設定!$C$4,"期限間近","")))</f>
        <v/>
      </c>
      <c r="X218" s="19"/>
      <c r="Y218" s="19"/>
      <c r="Z218" t="str">
        <f>IF(OR(T218="要発注",T218="欠品",T218="在庫異常"),COUNTIF($T$10:T218,"要発注")+COUNTIF($T$10:T218,"欠品")+COUNTIF($T$10:T218,"在庫異常"),"")</f>
        <v/>
      </c>
    </row>
    <row r="219" spans="2:26">
      <c r="B219" s="8" t="str">
        <f>IF(C219="","",COUNTA($C$10:C219))</f>
        <v/>
      </c>
      <c r="C219" s="9"/>
      <c r="D219" s="19"/>
      <c r="E219" s="19"/>
      <c r="F219" s="10"/>
      <c r="G219" s="11"/>
      <c r="H219" s="9"/>
      <c r="I219" s="11"/>
      <c r="J219" s="19"/>
      <c r="K219" s="12"/>
      <c r="L219" s="13" t="str">
        <f>IF(C219="","",SUMIFS(入出庫履歴!$G$10:$G$1009,入出庫履歴!$E$10:$E$1009,C219,入出庫履歴!$D$10:$D$1009,"入庫"))</f>
        <v/>
      </c>
      <c r="M219" s="13" t="str">
        <f>IF(C219="","",SUMIFS(入出庫履歴!$G$10:$G$1009,入出庫履歴!$E$10:$E$1009,C219,入出庫履歴!$D$10:$D$1009,"出庫"))</f>
        <v/>
      </c>
      <c r="N219" s="13" t="str">
        <f>IF(C219="","",SUMIFS(入出庫履歴!$G$10:$G$1009,入出庫履歴!$E$10:$E$1009,C219,入出庫履歴!$D$10:$D$1009,"廃棄"))</f>
        <v/>
      </c>
      <c r="O219" s="14" t="str">
        <f>IF(C219="","",SUMIFS(入出庫履歴!$G$10:$G$1009,入出庫履歴!$E$10:$E$1009,C219,入出庫履歴!$D$10:$D$1009,"棚卸調整"))</f>
        <v/>
      </c>
      <c r="P219" s="13" t="str">
        <f t="shared" si="12"/>
        <v/>
      </c>
      <c r="Q219" s="15" t="str">
        <f t="shared" si="13"/>
        <v/>
      </c>
      <c r="R219" s="16"/>
      <c r="S219" s="16"/>
      <c r="T219" s="17" t="str">
        <f t="shared" si="14"/>
        <v/>
      </c>
      <c r="U219" s="13" t="str">
        <f t="shared" si="15"/>
        <v/>
      </c>
      <c r="V219" s="18" t="str">
        <f>IF(C219="","",IF(_xlfn.MINIFS(入出庫履歴!$K$10:$K$1009,入出庫履歴!$E$10:$E$1009,C219,入出庫履歴!$N$10:$N$1009,"&gt;0")=0,"",_xlfn.MINIFS(入出庫履歴!$K$10:$K$1009,入出庫履歴!$E$10:$E$1009,C219,入出庫履歴!$N$10:$N$1009,"&gt;0")))</f>
        <v/>
      </c>
      <c r="W219" s="17" t="str">
        <f ca="1">IF(OR(V219="",P219&lt;=0),"",IF(V219&lt;TODAY(),"期限切れ",IF(V219-TODAY()&lt;=設定!$C$4,"期限間近","")))</f>
        <v/>
      </c>
      <c r="X219" s="19"/>
      <c r="Y219" s="19"/>
      <c r="Z219" t="str">
        <f>IF(OR(T219="要発注",T219="欠品",T219="在庫異常"),COUNTIF($T$10:T219,"要発注")+COUNTIF($T$10:T219,"欠品")+COUNTIF($T$10:T219,"在庫異常"),"")</f>
        <v/>
      </c>
    </row>
    <row r="220" spans="2:26">
      <c r="B220" s="8" t="str">
        <f>IF(C220="","",COUNTA($C$10:C220))</f>
        <v/>
      </c>
      <c r="C220" s="9"/>
      <c r="D220" s="19"/>
      <c r="E220" s="19"/>
      <c r="F220" s="10"/>
      <c r="G220" s="11"/>
      <c r="H220" s="9"/>
      <c r="I220" s="11"/>
      <c r="J220" s="19"/>
      <c r="K220" s="12"/>
      <c r="L220" s="13" t="str">
        <f>IF(C220="","",SUMIFS(入出庫履歴!$G$10:$G$1009,入出庫履歴!$E$10:$E$1009,C220,入出庫履歴!$D$10:$D$1009,"入庫"))</f>
        <v/>
      </c>
      <c r="M220" s="13" t="str">
        <f>IF(C220="","",SUMIFS(入出庫履歴!$G$10:$G$1009,入出庫履歴!$E$10:$E$1009,C220,入出庫履歴!$D$10:$D$1009,"出庫"))</f>
        <v/>
      </c>
      <c r="N220" s="13" t="str">
        <f>IF(C220="","",SUMIFS(入出庫履歴!$G$10:$G$1009,入出庫履歴!$E$10:$E$1009,C220,入出庫履歴!$D$10:$D$1009,"廃棄"))</f>
        <v/>
      </c>
      <c r="O220" s="14" t="str">
        <f>IF(C220="","",SUMIFS(入出庫履歴!$G$10:$G$1009,入出庫履歴!$E$10:$E$1009,C220,入出庫履歴!$D$10:$D$1009,"棚卸調整"))</f>
        <v/>
      </c>
      <c r="P220" s="13" t="str">
        <f t="shared" si="12"/>
        <v/>
      </c>
      <c r="Q220" s="15" t="str">
        <f t="shared" si="13"/>
        <v/>
      </c>
      <c r="R220" s="16"/>
      <c r="S220" s="16"/>
      <c r="T220" s="17" t="str">
        <f t="shared" si="14"/>
        <v/>
      </c>
      <c r="U220" s="13" t="str">
        <f t="shared" si="15"/>
        <v/>
      </c>
      <c r="V220" s="18" t="str">
        <f>IF(C220="","",IF(_xlfn.MINIFS(入出庫履歴!$K$10:$K$1009,入出庫履歴!$E$10:$E$1009,C220,入出庫履歴!$N$10:$N$1009,"&gt;0")=0,"",_xlfn.MINIFS(入出庫履歴!$K$10:$K$1009,入出庫履歴!$E$10:$E$1009,C220,入出庫履歴!$N$10:$N$1009,"&gt;0")))</f>
        <v/>
      </c>
      <c r="W220" s="17" t="str">
        <f ca="1">IF(OR(V220="",P220&lt;=0),"",IF(V220&lt;TODAY(),"期限切れ",IF(V220-TODAY()&lt;=設定!$C$4,"期限間近","")))</f>
        <v/>
      </c>
      <c r="X220" s="19"/>
      <c r="Y220" s="19"/>
      <c r="Z220" t="str">
        <f>IF(OR(T220="要発注",T220="欠品",T220="在庫異常"),COUNTIF($T$10:T220,"要発注")+COUNTIF($T$10:T220,"欠品")+COUNTIF($T$10:T220,"在庫異常"),"")</f>
        <v/>
      </c>
    </row>
    <row r="221" spans="2:26">
      <c r="B221" s="8" t="str">
        <f>IF(C221="","",COUNTA($C$10:C221))</f>
        <v/>
      </c>
      <c r="C221" s="9"/>
      <c r="D221" s="19"/>
      <c r="E221" s="19"/>
      <c r="F221" s="10"/>
      <c r="G221" s="11"/>
      <c r="H221" s="9"/>
      <c r="I221" s="11"/>
      <c r="J221" s="19"/>
      <c r="K221" s="12"/>
      <c r="L221" s="13" t="str">
        <f>IF(C221="","",SUMIFS(入出庫履歴!$G$10:$G$1009,入出庫履歴!$E$10:$E$1009,C221,入出庫履歴!$D$10:$D$1009,"入庫"))</f>
        <v/>
      </c>
      <c r="M221" s="13" t="str">
        <f>IF(C221="","",SUMIFS(入出庫履歴!$G$10:$G$1009,入出庫履歴!$E$10:$E$1009,C221,入出庫履歴!$D$10:$D$1009,"出庫"))</f>
        <v/>
      </c>
      <c r="N221" s="13" t="str">
        <f>IF(C221="","",SUMIFS(入出庫履歴!$G$10:$G$1009,入出庫履歴!$E$10:$E$1009,C221,入出庫履歴!$D$10:$D$1009,"廃棄"))</f>
        <v/>
      </c>
      <c r="O221" s="14" t="str">
        <f>IF(C221="","",SUMIFS(入出庫履歴!$G$10:$G$1009,入出庫履歴!$E$10:$E$1009,C221,入出庫履歴!$D$10:$D$1009,"棚卸調整"))</f>
        <v/>
      </c>
      <c r="P221" s="13" t="str">
        <f t="shared" si="12"/>
        <v/>
      </c>
      <c r="Q221" s="15" t="str">
        <f t="shared" si="13"/>
        <v/>
      </c>
      <c r="R221" s="16"/>
      <c r="S221" s="16"/>
      <c r="T221" s="17" t="str">
        <f t="shared" si="14"/>
        <v/>
      </c>
      <c r="U221" s="13" t="str">
        <f t="shared" si="15"/>
        <v/>
      </c>
      <c r="V221" s="18" t="str">
        <f>IF(C221="","",IF(_xlfn.MINIFS(入出庫履歴!$K$10:$K$1009,入出庫履歴!$E$10:$E$1009,C221,入出庫履歴!$N$10:$N$1009,"&gt;0")=0,"",_xlfn.MINIFS(入出庫履歴!$K$10:$K$1009,入出庫履歴!$E$10:$E$1009,C221,入出庫履歴!$N$10:$N$1009,"&gt;0")))</f>
        <v/>
      </c>
      <c r="W221" s="17" t="str">
        <f ca="1">IF(OR(V221="",P221&lt;=0),"",IF(V221&lt;TODAY(),"期限切れ",IF(V221-TODAY()&lt;=設定!$C$4,"期限間近","")))</f>
        <v/>
      </c>
      <c r="X221" s="19"/>
      <c r="Y221" s="19"/>
      <c r="Z221" t="str">
        <f>IF(OR(T221="要発注",T221="欠品",T221="在庫異常"),COUNTIF($T$10:T221,"要発注")+COUNTIF($T$10:T221,"欠品")+COUNTIF($T$10:T221,"在庫異常"),"")</f>
        <v/>
      </c>
    </row>
    <row r="222" spans="2:26">
      <c r="B222" s="8" t="str">
        <f>IF(C222="","",COUNTA($C$10:C222))</f>
        <v/>
      </c>
      <c r="C222" s="9"/>
      <c r="D222" s="19"/>
      <c r="E222" s="19"/>
      <c r="F222" s="10"/>
      <c r="G222" s="11"/>
      <c r="H222" s="9"/>
      <c r="I222" s="11"/>
      <c r="J222" s="19"/>
      <c r="K222" s="12"/>
      <c r="L222" s="13" t="str">
        <f>IF(C222="","",SUMIFS(入出庫履歴!$G$10:$G$1009,入出庫履歴!$E$10:$E$1009,C222,入出庫履歴!$D$10:$D$1009,"入庫"))</f>
        <v/>
      </c>
      <c r="M222" s="13" t="str">
        <f>IF(C222="","",SUMIFS(入出庫履歴!$G$10:$G$1009,入出庫履歴!$E$10:$E$1009,C222,入出庫履歴!$D$10:$D$1009,"出庫"))</f>
        <v/>
      </c>
      <c r="N222" s="13" t="str">
        <f>IF(C222="","",SUMIFS(入出庫履歴!$G$10:$G$1009,入出庫履歴!$E$10:$E$1009,C222,入出庫履歴!$D$10:$D$1009,"廃棄"))</f>
        <v/>
      </c>
      <c r="O222" s="14" t="str">
        <f>IF(C222="","",SUMIFS(入出庫履歴!$G$10:$G$1009,入出庫履歴!$E$10:$E$1009,C222,入出庫履歴!$D$10:$D$1009,"棚卸調整"))</f>
        <v/>
      </c>
      <c r="P222" s="13" t="str">
        <f t="shared" si="12"/>
        <v/>
      </c>
      <c r="Q222" s="15" t="str">
        <f t="shared" si="13"/>
        <v/>
      </c>
      <c r="R222" s="16"/>
      <c r="S222" s="16"/>
      <c r="T222" s="17" t="str">
        <f t="shared" si="14"/>
        <v/>
      </c>
      <c r="U222" s="13" t="str">
        <f t="shared" si="15"/>
        <v/>
      </c>
      <c r="V222" s="18" t="str">
        <f>IF(C222="","",IF(_xlfn.MINIFS(入出庫履歴!$K$10:$K$1009,入出庫履歴!$E$10:$E$1009,C222,入出庫履歴!$N$10:$N$1009,"&gt;0")=0,"",_xlfn.MINIFS(入出庫履歴!$K$10:$K$1009,入出庫履歴!$E$10:$E$1009,C222,入出庫履歴!$N$10:$N$1009,"&gt;0")))</f>
        <v/>
      </c>
      <c r="W222" s="17" t="str">
        <f ca="1">IF(OR(V222="",P222&lt;=0),"",IF(V222&lt;TODAY(),"期限切れ",IF(V222-TODAY()&lt;=設定!$C$4,"期限間近","")))</f>
        <v/>
      </c>
      <c r="X222" s="19"/>
      <c r="Y222" s="19"/>
      <c r="Z222" t="str">
        <f>IF(OR(T222="要発注",T222="欠品",T222="在庫異常"),COUNTIF($T$10:T222,"要発注")+COUNTIF($T$10:T222,"欠品")+COUNTIF($T$10:T222,"在庫異常"),"")</f>
        <v/>
      </c>
    </row>
    <row r="223" spans="2:26">
      <c r="B223" s="8" t="str">
        <f>IF(C223="","",COUNTA($C$10:C223))</f>
        <v/>
      </c>
      <c r="C223" s="9"/>
      <c r="D223" s="19"/>
      <c r="E223" s="19"/>
      <c r="F223" s="10"/>
      <c r="G223" s="11"/>
      <c r="H223" s="9"/>
      <c r="I223" s="11"/>
      <c r="J223" s="19"/>
      <c r="K223" s="12"/>
      <c r="L223" s="13" t="str">
        <f>IF(C223="","",SUMIFS(入出庫履歴!$G$10:$G$1009,入出庫履歴!$E$10:$E$1009,C223,入出庫履歴!$D$10:$D$1009,"入庫"))</f>
        <v/>
      </c>
      <c r="M223" s="13" t="str">
        <f>IF(C223="","",SUMIFS(入出庫履歴!$G$10:$G$1009,入出庫履歴!$E$10:$E$1009,C223,入出庫履歴!$D$10:$D$1009,"出庫"))</f>
        <v/>
      </c>
      <c r="N223" s="13" t="str">
        <f>IF(C223="","",SUMIFS(入出庫履歴!$G$10:$G$1009,入出庫履歴!$E$10:$E$1009,C223,入出庫履歴!$D$10:$D$1009,"廃棄"))</f>
        <v/>
      </c>
      <c r="O223" s="14" t="str">
        <f>IF(C223="","",SUMIFS(入出庫履歴!$G$10:$G$1009,入出庫履歴!$E$10:$E$1009,C223,入出庫履歴!$D$10:$D$1009,"棚卸調整"))</f>
        <v/>
      </c>
      <c r="P223" s="13" t="str">
        <f t="shared" si="12"/>
        <v/>
      </c>
      <c r="Q223" s="15" t="str">
        <f t="shared" si="13"/>
        <v/>
      </c>
      <c r="R223" s="16"/>
      <c r="S223" s="16"/>
      <c r="T223" s="17" t="str">
        <f t="shared" si="14"/>
        <v/>
      </c>
      <c r="U223" s="13" t="str">
        <f t="shared" si="15"/>
        <v/>
      </c>
      <c r="V223" s="18" t="str">
        <f>IF(C223="","",IF(_xlfn.MINIFS(入出庫履歴!$K$10:$K$1009,入出庫履歴!$E$10:$E$1009,C223,入出庫履歴!$N$10:$N$1009,"&gt;0")=0,"",_xlfn.MINIFS(入出庫履歴!$K$10:$K$1009,入出庫履歴!$E$10:$E$1009,C223,入出庫履歴!$N$10:$N$1009,"&gt;0")))</f>
        <v/>
      </c>
      <c r="W223" s="17" t="str">
        <f ca="1">IF(OR(V223="",P223&lt;=0),"",IF(V223&lt;TODAY(),"期限切れ",IF(V223-TODAY()&lt;=設定!$C$4,"期限間近","")))</f>
        <v/>
      </c>
      <c r="X223" s="19"/>
      <c r="Y223" s="19"/>
      <c r="Z223" t="str">
        <f>IF(OR(T223="要発注",T223="欠品",T223="在庫異常"),COUNTIF($T$10:T223,"要発注")+COUNTIF($T$10:T223,"欠品")+COUNTIF($T$10:T223,"在庫異常"),"")</f>
        <v/>
      </c>
    </row>
    <row r="224" spans="2:26">
      <c r="B224" s="8" t="str">
        <f>IF(C224="","",COUNTA($C$10:C224))</f>
        <v/>
      </c>
      <c r="C224" s="9"/>
      <c r="D224" s="19"/>
      <c r="E224" s="19"/>
      <c r="F224" s="10"/>
      <c r="G224" s="11"/>
      <c r="H224" s="9"/>
      <c r="I224" s="11"/>
      <c r="J224" s="19"/>
      <c r="K224" s="12"/>
      <c r="L224" s="13" t="str">
        <f>IF(C224="","",SUMIFS(入出庫履歴!$G$10:$G$1009,入出庫履歴!$E$10:$E$1009,C224,入出庫履歴!$D$10:$D$1009,"入庫"))</f>
        <v/>
      </c>
      <c r="M224" s="13" t="str">
        <f>IF(C224="","",SUMIFS(入出庫履歴!$G$10:$G$1009,入出庫履歴!$E$10:$E$1009,C224,入出庫履歴!$D$10:$D$1009,"出庫"))</f>
        <v/>
      </c>
      <c r="N224" s="13" t="str">
        <f>IF(C224="","",SUMIFS(入出庫履歴!$G$10:$G$1009,入出庫履歴!$E$10:$E$1009,C224,入出庫履歴!$D$10:$D$1009,"廃棄"))</f>
        <v/>
      </c>
      <c r="O224" s="14" t="str">
        <f>IF(C224="","",SUMIFS(入出庫履歴!$G$10:$G$1009,入出庫履歴!$E$10:$E$1009,C224,入出庫履歴!$D$10:$D$1009,"棚卸調整"))</f>
        <v/>
      </c>
      <c r="P224" s="13" t="str">
        <f t="shared" si="12"/>
        <v/>
      </c>
      <c r="Q224" s="15" t="str">
        <f t="shared" si="13"/>
        <v/>
      </c>
      <c r="R224" s="16"/>
      <c r="S224" s="16"/>
      <c r="T224" s="17" t="str">
        <f t="shared" si="14"/>
        <v/>
      </c>
      <c r="U224" s="13" t="str">
        <f t="shared" si="15"/>
        <v/>
      </c>
      <c r="V224" s="18" t="str">
        <f>IF(C224="","",IF(_xlfn.MINIFS(入出庫履歴!$K$10:$K$1009,入出庫履歴!$E$10:$E$1009,C224,入出庫履歴!$N$10:$N$1009,"&gt;0")=0,"",_xlfn.MINIFS(入出庫履歴!$K$10:$K$1009,入出庫履歴!$E$10:$E$1009,C224,入出庫履歴!$N$10:$N$1009,"&gt;0")))</f>
        <v/>
      </c>
      <c r="W224" s="17" t="str">
        <f ca="1">IF(OR(V224="",P224&lt;=0),"",IF(V224&lt;TODAY(),"期限切れ",IF(V224-TODAY()&lt;=設定!$C$4,"期限間近","")))</f>
        <v/>
      </c>
      <c r="X224" s="19"/>
      <c r="Y224" s="19"/>
      <c r="Z224" t="str">
        <f>IF(OR(T224="要発注",T224="欠品",T224="在庫異常"),COUNTIF($T$10:T224,"要発注")+COUNTIF($T$10:T224,"欠品")+COUNTIF($T$10:T224,"在庫異常"),"")</f>
        <v/>
      </c>
    </row>
    <row r="225" spans="2:26">
      <c r="B225" s="8" t="str">
        <f>IF(C225="","",COUNTA($C$10:C225))</f>
        <v/>
      </c>
      <c r="C225" s="9"/>
      <c r="D225" s="19"/>
      <c r="E225" s="19"/>
      <c r="F225" s="10"/>
      <c r="G225" s="11"/>
      <c r="H225" s="9"/>
      <c r="I225" s="11"/>
      <c r="J225" s="19"/>
      <c r="K225" s="12"/>
      <c r="L225" s="13" t="str">
        <f>IF(C225="","",SUMIFS(入出庫履歴!$G$10:$G$1009,入出庫履歴!$E$10:$E$1009,C225,入出庫履歴!$D$10:$D$1009,"入庫"))</f>
        <v/>
      </c>
      <c r="M225" s="13" t="str">
        <f>IF(C225="","",SUMIFS(入出庫履歴!$G$10:$G$1009,入出庫履歴!$E$10:$E$1009,C225,入出庫履歴!$D$10:$D$1009,"出庫"))</f>
        <v/>
      </c>
      <c r="N225" s="13" t="str">
        <f>IF(C225="","",SUMIFS(入出庫履歴!$G$10:$G$1009,入出庫履歴!$E$10:$E$1009,C225,入出庫履歴!$D$10:$D$1009,"廃棄"))</f>
        <v/>
      </c>
      <c r="O225" s="14" t="str">
        <f>IF(C225="","",SUMIFS(入出庫履歴!$G$10:$G$1009,入出庫履歴!$E$10:$E$1009,C225,入出庫履歴!$D$10:$D$1009,"棚卸調整"))</f>
        <v/>
      </c>
      <c r="P225" s="13" t="str">
        <f t="shared" si="12"/>
        <v/>
      </c>
      <c r="Q225" s="15" t="str">
        <f t="shared" si="13"/>
        <v/>
      </c>
      <c r="R225" s="16"/>
      <c r="S225" s="16"/>
      <c r="T225" s="17" t="str">
        <f t="shared" si="14"/>
        <v/>
      </c>
      <c r="U225" s="13" t="str">
        <f t="shared" si="15"/>
        <v/>
      </c>
      <c r="V225" s="18" t="str">
        <f>IF(C225="","",IF(_xlfn.MINIFS(入出庫履歴!$K$10:$K$1009,入出庫履歴!$E$10:$E$1009,C225,入出庫履歴!$N$10:$N$1009,"&gt;0")=0,"",_xlfn.MINIFS(入出庫履歴!$K$10:$K$1009,入出庫履歴!$E$10:$E$1009,C225,入出庫履歴!$N$10:$N$1009,"&gt;0")))</f>
        <v/>
      </c>
      <c r="W225" s="17" t="str">
        <f ca="1">IF(OR(V225="",P225&lt;=0),"",IF(V225&lt;TODAY(),"期限切れ",IF(V225-TODAY()&lt;=設定!$C$4,"期限間近","")))</f>
        <v/>
      </c>
      <c r="X225" s="19"/>
      <c r="Y225" s="19"/>
      <c r="Z225" t="str">
        <f>IF(OR(T225="要発注",T225="欠品",T225="在庫異常"),COUNTIF($T$10:T225,"要発注")+COUNTIF($T$10:T225,"欠品")+COUNTIF($T$10:T225,"在庫異常"),"")</f>
        <v/>
      </c>
    </row>
    <row r="226" spans="2:26">
      <c r="B226" s="8" t="str">
        <f>IF(C226="","",COUNTA($C$10:C226))</f>
        <v/>
      </c>
      <c r="C226" s="9"/>
      <c r="D226" s="19"/>
      <c r="E226" s="19"/>
      <c r="F226" s="10"/>
      <c r="G226" s="11"/>
      <c r="H226" s="9"/>
      <c r="I226" s="11"/>
      <c r="J226" s="19"/>
      <c r="K226" s="12"/>
      <c r="L226" s="13" t="str">
        <f>IF(C226="","",SUMIFS(入出庫履歴!$G$10:$G$1009,入出庫履歴!$E$10:$E$1009,C226,入出庫履歴!$D$10:$D$1009,"入庫"))</f>
        <v/>
      </c>
      <c r="M226" s="13" t="str">
        <f>IF(C226="","",SUMIFS(入出庫履歴!$G$10:$G$1009,入出庫履歴!$E$10:$E$1009,C226,入出庫履歴!$D$10:$D$1009,"出庫"))</f>
        <v/>
      </c>
      <c r="N226" s="13" t="str">
        <f>IF(C226="","",SUMIFS(入出庫履歴!$G$10:$G$1009,入出庫履歴!$E$10:$E$1009,C226,入出庫履歴!$D$10:$D$1009,"廃棄"))</f>
        <v/>
      </c>
      <c r="O226" s="14" t="str">
        <f>IF(C226="","",SUMIFS(入出庫履歴!$G$10:$G$1009,入出庫履歴!$E$10:$E$1009,C226,入出庫履歴!$D$10:$D$1009,"棚卸調整"))</f>
        <v/>
      </c>
      <c r="P226" s="13" t="str">
        <f t="shared" si="12"/>
        <v/>
      </c>
      <c r="Q226" s="15" t="str">
        <f t="shared" si="13"/>
        <v/>
      </c>
      <c r="R226" s="16"/>
      <c r="S226" s="16"/>
      <c r="T226" s="17" t="str">
        <f t="shared" si="14"/>
        <v/>
      </c>
      <c r="U226" s="13" t="str">
        <f t="shared" si="15"/>
        <v/>
      </c>
      <c r="V226" s="18" t="str">
        <f>IF(C226="","",IF(_xlfn.MINIFS(入出庫履歴!$K$10:$K$1009,入出庫履歴!$E$10:$E$1009,C226,入出庫履歴!$N$10:$N$1009,"&gt;0")=0,"",_xlfn.MINIFS(入出庫履歴!$K$10:$K$1009,入出庫履歴!$E$10:$E$1009,C226,入出庫履歴!$N$10:$N$1009,"&gt;0")))</f>
        <v/>
      </c>
      <c r="W226" s="17" t="str">
        <f ca="1">IF(OR(V226="",P226&lt;=0),"",IF(V226&lt;TODAY(),"期限切れ",IF(V226-TODAY()&lt;=設定!$C$4,"期限間近","")))</f>
        <v/>
      </c>
      <c r="X226" s="19"/>
      <c r="Y226" s="19"/>
      <c r="Z226" t="str">
        <f>IF(OR(T226="要発注",T226="欠品",T226="在庫異常"),COUNTIF($T$10:T226,"要発注")+COUNTIF($T$10:T226,"欠品")+COUNTIF($T$10:T226,"在庫異常"),"")</f>
        <v/>
      </c>
    </row>
    <row r="227" spans="2:26">
      <c r="B227" s="8" t="str">
        <f>IF(C227="","",COUNTA($C$10:C227))</f>
        <v/>
      </c>
      <c r="C227" s="9"/>
      <c r="D227" s="19"/>
      <c r="E227" s="19"/>
      <c r="F227" s="10"/>
      <c r="G227" s="11"/>
      <c r="H227" s="9"/>
      <c r="I227" s="11"/>
      <c r="J227" s="19"/>
      <c r="K227" s="12"/>
      <c r="L227" s="13" t="str">
        <f>IF(C227="","",SUMIFS(入出庫履歴!$G$10:$G$1009,入出庫履歴!$E$10:$E$1009,C227,入出庫履歴!$D$10:$D$1009,"入庫"))</f>
        <v/>
      </c>
      <c r="M227" s="13" t="str">
        <f>IF(C227="","",SUMIFS(入出庫履歴!$G$10:$G$1009,入出庫履歴!$E$10:$E$1009,C227,入出庫履歴!$D$10:$D$1009,"出庫"))</f>
        <v/>
      </c>
      <c r="N227" s="13" t="str">
        <f>IF(C227="","",SUMIFS(入出庫履歴!$G$10:$G$1009,入出庫履歴!$E$10:$E$1009,C227,入出庫履歴!$D$10:$D$1009,"廃棄"))</f>
        <v/>
      </c>
      <c r="O227" s="14" t="str">
        <f>IF(C227="","",SUMIFS(入出庫履歴!$G$10:$G$1009,入出庫履歴!$E$10:$E$1009,C227,入出庫履歴!$D$10:$D$1009,"棚卸調整"))</f>
        <v/>
      </c>
      <c r="P227" s="13" t="str">
        <f t="shared" si="12"/>
        <v/>
      </c>
      <c r="Q227" s="15" t="str">
        <f t="shared" si="13"/>
        <v/>
      </c>
      <c r="R227" s="16"/>
      <c r="S227" s="16"/>
      <c r="T227" s="17" t="str">
        <f t="shared" si="14"/>
        <v/>
      </c>
      <c r="U227" s="13" t="str">
        <f t="shared" si="15"/>
        <v/>
      </c>
      <c r="V227" s="18" t="str">
        <f>IF(C227="","",IF(_xlfn.MINIFS(入出庫履歴!$K$10:$K$1009,入出庫履歴!$E$10:$E$1009,C227,入出庫履歴!$N$10:$N$1009,"&gt;0")=0,"",_xlfn.MINIFS(入出庫履歴!$K$10:$K$1009,入出庫履歴!$E$10:$E$1009,C227,入出庫履歴!$N$10:$N$1009,"&gt;0")))</f>
        <v/>
      </c>
      <c r="W227" s="17" t="str">
        <f ca="1">IF(OR(V227="",P227&lt;=0),"",IF(V227&lt;TODAY(),"期限切れ",IF(V227-TODAY()&lt;=設定!$C$4,"期限間近","")))</f>
        <v/>
      </c>
      <c r="X227" s="19"/>
      <c r="Y227" s="19"/>
      <c r="Z227" t="str">
        <f>IF(OR(T227="要発注",T227="欠品",T227="在庫異常"),COUNTIF($T$10:T227,"要発注")+COUNTIF($T$10:T227,"欠品")+COUNTIF($T$10:T227,"在庫異常"),"")</f>
        <v/>
      </c>
    </row>
    <row r="228" spans="2:26">
      <c r="B228" s="8" t="str">
        <f>IF(C228="","",COUNTA($C$10:C228))</f>
        <v/>
      </c>
      <c r="C228" s="9"/>
      <c r="D228" s="19"/>
      <c r="E228" s="19"/>
      <c r="F228" s="10"/>
      <c r="G228" s="11"/>
      <c r="H228" s="9"/>
      <c r="I228" s="11"/>
      <c r="J228" s="19"/>
      <c r="K228" s="12"/>
      <c r="L228" s="13" t="str">
        <f>IF(C228="","",SUMIFS(入出庫履歴!$G$10:$G$1009,入出庫履歴!$E$10:$E$1009,C228,入出庫履歴!$D$10:$D$1009,"入庫"))</f>
        <v/>
      </c>
      <c r="M228" s="13" t="str">
        <f>IF(C228="","",SUMIFS(入出庫履歴!$G$10:$G$1009,入出庫履歴!$E$10:$E$1009,C228,入出庫履歴!$D$10:$D$1009,"出庫"))</f>
        <v/>
      </c>
      <c r="N228" s="13" t="str">
        <f>IF(C228="","",SUMIFS(入出庫履歴!$G$10:$G$1009,入出庫履歴!$E$10:$E$1009,C228,入出庫履歴!$D$10:$D$1009,"廃棄"))</f>
        <v/>
      </c>
      <c r="O228" s="14" t="str">
        <f>IF(C228="","",SUMIFS(入出庫履歴!$G$10:$G$1009,入出庫履歴!$E$10:$E$1009,C228,入出庫履歴!$D$10:$D$1009,"棚卸調整"))</f>
        <v/>
      </c>
      <c r="P228" s="13" t="str">
        <f t="shared" si="12"/>
        <v/>
      </c>
      <c r="Q228" s="15" t="str">
        <f t="shared" si="13"/>
        <v/>
      </c>
      <c r="R228" s="16"/>
      <c r="S228" s="16"/>
      <c r="T228" s="17" t="str">
        <f t="shared" si="14"/>
        <v/>
      </c>
      <c r="U228" s="13" t="str">
        <f t="shared" si="15"/>
        <v/>
      </c>
      <c r="V228" s="18" t="str">
        <f>IF(C228="","",IF(_xlfn.MINIFS(入出庫履歴!$K$10:$K$1009,入出庫履歴!$E$10:$E$1009,C228,入出庫履歴!$N$10:$N$1009,"&gt;0")=0,"",_xlfn.MINIFS(入出庫履歴!$K$10:$K$1009,入出庫履歴!$E$10:$E$1009,C228,入出庫履歴!$N$10:$N$1009,"&gt;0")))</f>
        <v/>
      </c>
      <c r="W228" s="17" t="str">
        <f ca="1">IF(OR(V228="",P228&lt;=0),"",IF(V228&lt;TODAY(),"期限切れ",IF(V228-TODAY()&lt;=設定!$C$4,"期限間近","")))</f>
        <v/>
      </c>
      <c r="X228" s="19"/>
      <c r="Y228" s="19"/>
      <c r="Z228" t="str">
        <f>IF(OR(T228="要発注",T228="欠品",T228="在庫異常"),COUNTIF($T$10:T228,"要発注")+COUNTIF($T$10:T228,"欠品")+COUNTIF($T$10:T228,"在庫異常"),"")</f>
        <v/>
      </c>
    </row>
    <row r="229" spans="2:26">
      <c r="B229" s="8" t="str">
        <f>IF(C229="","",COUNTA($C$10:C229))</f>
        <v/>
      </c>
      <c r="C229" s="9"/>
      <c r="D229" s="19"/>
      <c r="E229" s="19"/>
      <c r="F229" s="10"/>
      <c r="G229" s="11"/>
      <c r="H229" s="9"/>
      <c r="I229" s="11"/>
      <c r="J229" s="19"/>
      <c r="K229" s="12"/>
      <c r="L229" s="13" t="str">
        <f>IF(C229="","",SUMIFS(入出庫履歴!$G$10:$G$1009,入出庫履歴!$E$10:$E$1009,C229,入出庫履歴!$D$10:$D$1009,"入庫"))</f>
        <v/>
      </c>
      <c r="M229" s="13" t="str">
        <f>IF(C229="","",SUMIFS(入出庫履歴!$G$10:$G$1009,入出庫履歴!$E$10:$E$1009,C229,入出庫履歴!$D$10:$D$1009,"出庫"))</f>
        <v/>
      </c>
      <c r="N229" s="13" t="str">
        <f>IF(C229="","",SUMIFS(入出庫履歴!$G$10:$G$1009,入出庫履歴!$E$10:$E$1009,C229,入出庫履歴!$D$10:$D$1009,"廃棄"))</f>
        <v/>
      </c>
      <c r="O229" s="14" t="str">
        <f>IF(C229="","",SUMIFS(入出庫履歴!$G$10:$G$1009,入出庫履歴!$E$10:$E$1009,C229,入出庫履歴!$D$10:$D$1009,"棚卸調整"))</f>
        <v/>
      </c>
      <c r="P229" s="13" t="str">
        <f t="shared" si="12"/>
        <v/>
      </c>
      <c r="Q229" s="15" t="str">
        <f t="shared" si="13"/>
        <v/>
      </c>
      <c r="R229" s="16"/>
      <c r="S229" s="16"/>
      <c r="T229" s="17" t="str">
        <f t="shared" si="14"/>
        <v/>
      </c>
      <c r="U229" s="13" t="str">
        <f t="shared" si="15"/>
        <v/>
      </c>
      <c r="V229" s="18" t="str">
        <f>IF(C229="","",IF(_xlfn.MINIFS(入出庫履歴!$K$10:$K$1009,入出庫履歴!$E$10:$E$1009,C229,入出庫履歴!$N$10:$N$1009,"&gt;0")=0,"",_xlfn.MINIFS(入出庫履歴!$K$10:$K$1009,入出庫履歴!$E$10:$E$1009,C229,入出庫履歴!$N$10:$N$1009,"&gt;0")))</f>
        <v/>
      </c>
      <c r="W229" s="17" t="str">
        <f ca="1">IF(OR(V229="",P229&lt;=0),"",IF(V229&lt;TODAY(),"期限切れ",IF(V229-TODAY()&lt;=設定!$C$4,"期限間近","")))</f>
        <v/>
      </c>
      <c r="X229" s="19"/>
      <c r="Y229" s="19"/>
      <c r="Z229" t="str">
        <f>IF(OR(T229="要発注",T229="欠品",T229="在庫異常"),COUNTIF($T$10:T229,"要発注")+COUNTIF($T$10:T229,"欠品")+COUNTIF($T$10:T229,"在庫異常"),"")</f>
        <v/>
      </c>
    </row>
    <row r="230" spans="2:26">
      <c r="B230" s="8" t="str">
        <f>IF(C230="","",COUNTA($C$10:C230))</f>
        <v/>
      </c>
      <c r="C230" s="9"/>
      <c r="D230" s="19"/>
      <c r="E230" s="19"/>
      <c r="F230" s="10"/>
      <c r="G230" s="11"/>
      <c r="H230" s="9"/>
      <c r="I230" s="11"/>
      <c r="J230" s="19"/>
      <c r="K230" s="12"/>
      <c r="L230" s="13" t="str">
        <f>IF(C230="","",SUMIFS(入出庫履歴!$G$10:$G$1009,入出庫履歴!$E$10:$E$1009,C230,入出庫履歴!$D$10:$D$1009,"入庫"))</f>
        <v/>
      </c>
      <c r="M230" s="13" t="str">
        <f>IF(C230="","",SUMIFS(入出庫履歴!$G$10:$G$1009,入出庫履歴!$E$10:$E$1009,C230,入出庫履歴!$D$10:$D$1009,"出庫"))</f>
        <v/>
      </c>
      <c r="N230" s="13" t="str">
        <f>IF(C230="","",SUMIFS(入出庫履歴!$G$10:$G$1009,入出庫履歴!$E$10:$E$1009,C230,入出庫履歴!$D$10:$D$1009,"廃棄"))</f>
        <v/>
      </c>
      <c r="O230" s="14" t="str">
        <f>IF(C230="","",SUMIFS(入出庫履歴!$G$10:$G$1009,入出庫履歴!$E$10:$E$1009,C230,入出庫履歴!$D$10:$D$1009,"棚卸調整"))</f>
        <v/>
      </c>
      <c r="P230" s="13" t="str">
        <f t="shared" si="12"/>
        <v/>
      </c>
      <c r="Q230" s="15" t="str">
        <f t="shared" si="13"/>
        <v/>
      </c>
      <c r="R230" s="16"/>
      <c r="S230" s="16"/>
      <c r="T230" s="17" t="str">
        <f t="shared" si="14"/>
        <v/>
      </c>
      <c r="U230" s="13" t="str">
        <f t="shared" si="15"/>
        <v/>
      </c>
      <c r="V230" s="18" t="str">
        <f>IF(C230="","",IF(_xlfn.MINIFS(入出庫履歴!$K$10:$K$1009,入出庫履歴!$E$10:$E$1009,C230,入出庫履歴!$N$10:$N$1009,"&gt;0")=0,"",_xlfn.MINIFS(入出庫履歴!$K$10:$K$1009,入出庫履歴!$E$10:$E$1009,C230,入出庫履歴!$N$10:$N$1009,"&gt;0")))</f>
        <v/>
      </c>
      <c r="W230" s="17" t="str">
        <f ca="1">IF(OR(V230="",P230&lt;=0),"",IF(V230&lt;TODAY(),"期限切れ",IF(V230-TODAY()&lt;=設定!$C$4,"期限間近","")))</f>
        <v/>
      </c>
      <c r="X230" s="19"/>
      <c r="Y230" s="19"/>
      <c r="Z230" t="str">
        <f>IF(OR(T230="要発注",T230="欠品",T230="在庫異常"),COUNTIF($T$10:T230,"要発注")+COUNTIF($T$10:T230,"欠品")+COUNTIF($T$10:T230,"在庫異常"),"")</f>
        <v/>
      </c>
    </row>
    <row r="231" spans="2:26">
      <c r="B231" s="8" t="str">
        <f>IF(C231="","",COUNTA($C$10:C231))</f>
        <v/>
      </c>
      <c r="C231" s="9"/>
      <c r="D231" s="19"/>
      <c r="E231" s="19"/>
      <c r="F231" s="10"/>
      <c r="G231" s="11"/>
      <c r="H231" s="9"/>
      <c r="I231" s="11"/>
      <c r="J231" s="19"/>
      <c r="K231" s="12"/>
      <c r="L231" s="13" t="str">
        <f>IF(C231="","",SUMIFS(入出庫履歴!$G$10:$G$1009,入出庫履歴!$E$10:$E$1009,C231,入出庫履歴!$D$10:$D$1009,"入庫"))</f>
        <v/>
      </c>
      <c r="M231" s="13" t="str">
        <f>IF(C231="","",SUMIFS(入出庫履歴!$G$10:$G$1009,入出庫履歴!$E$10:$E$1009,C231,入出庫履歴!$D$10:$D$1009,"出庫"))</f>
        <v/>
      </c>
      <c r="N231" s="13" t="str">
        <f>IF(C231="","",SUMIFS(入出庫履歴!$G$10:$G$1009,入出庫履歴!$E$10:$E$1009,C231,入出庫履歴!$D$10:$D$1009,"廃棄"))</f>
        <v/>
      </c>
      <c r="O231" s="14" t="str">
        <f>IF(C231="","",SUMIFS(入出庫履歴!$G$10:$G$1009,入出庫履歴!$E$10:$E$1009,C231,入出庫履歴!$D$10:$D$1009,"棚卸調整"))</f>
        <v/>
      </c>
      <c r="P231" s="13" t="str">
        <f t="shared" si="12"/>
        <v/>
      </c>
      <c r="Q231" s="15" t="str">
        <f t="shared" si="13"/>
        <v/>
      </c>
      <c r="R231" s="16"/>
      <c r="S231" s="16"/>
      <c r="T231" s="17" t="str">
        <f t="shared" si="14"/>
        <v/>
      </c>
      <c r="U231" s="13" t="str">
        <f t="shared" si="15"/>
        <v/>
      </c>
      <c r="V231" s="18" t="str">
        <f>IF(C231="","",IF(_xlfn.MINIFS(入出庫履歴!$K$10:$K$1009,入出庫履歴!$E$10:$E$1009,C231,入出庫履歴!$N$10:$N$1009,"&gt;0")=0,"",_xlfn.MINIFS(入出庫履歴!$K$10:$K$1009,入出庫履歴!$E$10:$E$1009,C231,入出庫履歴!$N$10:$N$1009,"&gt;0")))</f>
        <v/>
      </c>
      <c r="W231" s="17" t="str">
        <f ca="1">IF(OR(V231="",P231&lt;=0),"",IF(V231&lt;TODAY(),"期限切れ",IF(V231-TODAY()&lt;=設定!$C$4,"期限間近","")))</f>
        <v/>
      </c>
      <c r="X231" s="19"/>
      <c r="Y231" s="19"/>
      <c r="Z231" t="str">
        <f>IF(OR(T231="要発注",T231="欠品",T231="在庫異常"),COUNTIF($T$10:T231,"要発注")+COUNTIF($T$10:T231,"欠品")+COUNTIF($T$10:T231,"在庫異常"),"")</f>
        <v/>
      </c>
    </row>
    <row r="232" spans="2:26">
      <c r="B232" s="8" t="str">
        <f>IF(C232="","",COUNTA($C$10:C232))</f>
        <v/>
      </c>
      <c r="C232" s="9"/>
      <c r="D232" s="19"/>
      <c r="E232" s="19"/>
      <c r="F232" s="10"/>
      <c r="G232" s="11"/>
      <c r="H232" s="9"/>
      <c r="I232" s="11"/>
      <c r="J232" s="19"/>
      <c r="K232" s="12"/>
      <c r="L232" s="13" t="str">
        <f>IF(C232="","",SUMIFS(入出庫履歴!$G$10:$G$1009,入出庫履歴!$E$10:$E$1009,C232,入出庫履歴!$D$10:$D$1009,"入庫"))</f>
        <v/>
      </c>
      <c r="M232" s="13" t="str">
        <f>IF(C232="","",SUMIFS(入出庫履歴!$G$10:$G$1009,入出庫履歴!$E$10:$E$1009,C232,入出庫履歴!$D$10:$D$1009,"出庫"))</f>
        <v/>
      </c>
      <c r="N232" s="13" t="str">
        <f>IF(C232="","",SUMIFS(入出庫履歴!$G$10:$G$1009,入出庫履歴!$E$10:$E$1009,C232,入出庫履歴!$D$10:$D$1009,"廃棄"))</f>
        <v/>
      </c>
      <c r="O232" s="14" t="str">
        <f>IF(C232="","",SUMIFS(入出庫履歴!$G$10:$G$1009,入出庫履歴!$E$10:$E$1009,C232,入出庫履歴!$D$10:$D$1009,"棚卸調整"))</f>
        <v/>
      </c>
      <c r="P232" s="13" t="str">
        <f t="shared" si="12"/>
        <v/>
      </c>
      <c r="Q232" s="15" t="str">
        <f t="shared" si="13"/>
        <v/>
      </c>
      <c r="R232" s="16"/>
      <c r="S232" s="16"/>
      <c r="T232" s="17" t="str">
        <f t="shared" si="14"/>
        <v/>
      </c>
      <c r="U232" s="13" t="str">
        <f t="shared" si="15"/>
        <v/>
      </c>
      <c r="V232" s="18" t="str">
        <f>IF(C232="","",IF(_xlfn.MINIFS(入出庫履歴!$K$10:$K$1009,入出庫履歴!$E$10:$E$1009,C232,入出庫履歴!$N$10:$N$1009,"&gt;0")=0,"",_xlfn.MINIFS(入出庫履歴!$K$10:$K$1009,入出庫履歴!$E$10:$E$1009,C232,入出庫履歴!$N$10:$N$1009,"&gt;0")))</f>
        <v/>
      </c>
      <c r="W232" s="17" t="str">
        <f ca="1">IF(OR(V232="",P232&lt;=0),"",IF(V232&lt;TODAY(),"期限切れ",IF(V232-TODAY()&lt;=設定!$C$4,"期限間近","")))</f>
        <v/>
      </c>
      <c r="X232" s="19"/>
      <c r="Y232" s="19"/>
      <c r="Z232" t="str">
        <f>IF(OR(T232="要発注",T232="欠品",T232="在庫異常"),COUNTIF($T$10:T232,"要発注")+COUNTIF($T$10:T232,"欠品")+COUNTIF($T$10:T232,"在庫異常"),"")</f>
        <v/>
      </c>
    </row>
    <row r="233" spans="2:26">
      <c r="B233" s="8" t="str">
        <f>IF(C233="","",COUNTA($C$10:C233))</f>
        <v/>
      </c>
      <c r="C233" s="9"/>
      <c r="D233" s="19"/>
      <c r="E233" s="19"/>
      <c r="F233" s="10"/>
      <c r="G233" s="11"/>
      <c r="H233" s="9"/>
      <c r="I233" s="11"/>
      <c r="J233" s="19"/>
      <c r="K233" s="12"/>
      <c r="L233" s="13" t="str">
        <f>IF(C233="","",SUMIFS(入出庫履歴!$G$10:$G$1009,入出庫履歴!$E$10:$E$1009,C233,入出庫履歴!$D$10:$D$1009,"入庫"))</f>
        <v/>
      </c>
      <c r="M233" s="13" t="str">
        <f>IF(C233="","",SUMIFS(入出庫履歴!$G$10:$G$1009,入出庫履歴!$E$10:$E$1009,C233,入出庫履歴!$D$10:$D$1009,"出庫"))</f>
        <v/>
      </c>
      <c r="N233" s="13" t="str">
        <f>IF(C233="","",SUMIFS(入出庫履歴!$G$10:$G$1009,入出庫履歴!$E$10:$E$1009,C233,入出庫履歴!$D$10:$D$1009,"廃棄"))</f>
        <v/>
      </c>
      <c r="O233" s="14" t="str">
        <f>IF(C233="","",SUMIFS(入出庫履歴!$G$10:$G$1009,入出庫履歴!$E$10:$E$1009,C233,入出庫履歴!$D$10:$D$1009,"棚卸調整"))</f>
        <v/>
      </c>
      <c r="P233" s="13" t="str">
        <f t="shared" si="12"/>
        <v/>
      </c>
      <c r="Q233" s="15" t="str">
        <f t="shared" si="13"/>
        <v/>
      </c>
      <c r="R233" s="16"/>
      <c r="S233" s="16"/>
      <c r="T233" s="17" t="str">
        <f t="shared" si="14"/>
        <v/>
      </c>
      <c r="U233" s="13" t="str">
        <f t="shared" si="15"/>
        <v/>
      </c>
      <c r="V233" s="18" t="str">
        <f>IF(C233="","",IF(_xlfn.MINIFS(入出庫履歴!$K$10:$K$1009,入出庫履歴!$E$10:$E$1009,C233,入出庫履歴!$N$10:$N$1009,"&gt;0")=0,"",_xlfn.MINIFS(入出庫履歴!$K$10:$K$1009,入出庫履歴!$E$10:$E$1009,C233,入出庫履歴!$N$10:$N$1009,"&gt;0")))</f>
        <v/>
      </c>
      <c r="W233" s="17" t="str">
        <f ca="1">IF(OR(V233="",P233&lt;=0),"",IF(V233&lt;TODAY(),"期限切れ",IF(V233-TODAY()&lt;=設定!$C$4,"期限間近","")))</f>
        <v/>
      </c>
      <c r="X233" s="19"/>
      <c r="Y233" s="19"/>
      <c r="Z233" t="str">
        <f>IF(OR(T233="要発注",T233="欠品",T233="在庫異常"),COUNTIF($T$10:T233,"要発注")+COUNTIF($T$10:T233,"欠品")+COUNTIF($T$10:T233,"在庫異常"),"")</f>
        <v/>
      </c>
    </row>
    <row r="234" spans="2:26">
      <c r="B234" s="8" t="str">
        <f>IF(C234="","",COUNTA($C$10:C234))</f>
        <v/>
      </c>
      <c r="C234" s="9"/>
      <c r="D234" s="19"/>
      <c r="E234" s="19"/>
      <c r="F234" s="10"/>
      <c r="G234" s="11"/>
      <c r="H234" s="9"/>
      <c r="I234" s="11"/>
      <c r="J234" s="19"/>
      <c r="K234" s="12"/>
      <c r="L234" s="13" t="str">
        <f>IF(C234="","",SUMIFS(入出庫履歴!$G$10:$G$1009,入出庫履歴!$E$10:$E$1009,C234,入出庫履歴!$D$10:$D$1009,"入庫"))</f>
        <v/>
      </c>
      <c r="M234" s="13" t="str">
        <f>IF(C234="","",SUMIFS(入出庫履歴!$G$10:$G$1009,入出庫履歴!$E$10:$E$1009,C234,入出庫履歴!$D$10:$D$1009,"出庫"))</f>
        <v/>
      </c>
      <c r="N234" s="13" t="str">
        <f>IF(C234="","",SUMIFS(入出庫履歴!$G$10:$G$1009,入出庫履歴!$E$10:$E$1009,C234,入出庫履歴!$D$10:$D$1009,"廃棄"))</f>
        <v/>
      </c>
      <c r="O234" s="14" t="str">
        <f>IF(C234="","",SUMIFS(入出庫履歴!$G$10:$G$1009,入出庫履歴!$E$10:$E$1009,C234,入出庫履歴!$D$10:$D$1009,"棚卸調整"))</f>
        <v/>
      </c>
      <c r="P234" s="13" t="str">
        <f t="shared" si="12"/>
        <v/>
      </c>
      <c r="Q234" s="15" t="str">
        <f t="shared" si="13"/>
        <v/>
      </c>
      <c r="R234" s="16"/>
      <c r="S234" s="16"/>
      <c r="T234" s="17" t="str">
        <f t="shared" si="14"/>
        <v/>
      </c>
      <c r="U234" s="13" t="str">
        <f t="shared" si="15"/>
        <v/>
      </c>
      <c r="V234" s="18" t="str">
        <f>IF(C234="","",IF(_xlfn.MINIFS(入出庫履歴!$K$10:$K$1009,入出庫履歴!$E$10:$E$1009,C234,入出庫履歴!$N$10:$N$1009,"&gt;0")=0,"",_xlfn.MINIFS(入出庫履歴!$K$10:$K$1009,入出庫履歴!$E$10:$E$1009,C234,入出庫履歴!$N$10:$N$1009,"&gt;0")))</f>
        <v/>
      </c>
      <c r="W234" s="17" t="str">
        <f ca="1">IF(OR(V234="",P234&lt;=0),"",IF(V234&lt;TODAY(),"期限切れ",IF(V234-TODAY()&lt;=設定!$C$4,"期限間近","")))</f>
        <v/>
      </c>
      <c r="X234" s="19"/>
      <c r="Y234" s="19"/>
      <c r="Z234" t="str">
        <f>IF(OR(T234="要発注",T234="欠品",T234="在庫異常"),COUNTIF($T$10:T234,"要発注")+COUNTIF($T$10:T234,"欠品")+COUNTIF($T$10:T234,"在庫異常"),"")</f>
        <v/>
      </c>
    </row>
    <row r="235" spans="2:26">
      <c r="B235" s="8" t="str">
        <f>IF(C235="","",COUNTA($C$10:C235))</f>
        <v/>
      </c>
      <c r="C235" s="9"/>
      <c r="D235" s="19"/>
      <c r="E235" s="19"/>
      <c r="F235" s="10"/>
      <c r="G235" s="11"/>
      <c r="H235" s="9"/>
      <c r="I235" s="11"/>
      <c r="J235" s="19"/>
      <c r="K235" s="12"/>
      <c r="L235" s="13" t="str">
        <f>IF(C235="","",SUMIFS(入出庫履歴!$G$10:$G$1009,入出庫履歴!$E$10:$E$1009,C235,入出庫履歴!$D$10:$D$1009,"入庫"))</f>
        <v/>
      </c>
      <c r="M235" s="13" t="str">
        <f>IF(C235="","",SUMIFS(入出庫履歴!$G$10:$G$1009,入出庫履歴!$E$10:$E$1009,C235,入出庫履歴!$D$10:$D$1009,"出庫"))</f>
        <v/>
      </c>
      <c r="N235" s="13" t="str">
        <f>IF(C235="","",SUMIFS(入出庫履歴!$G$10:$G$1009,入出庫履歴!$E$10:$E$1009,C235,入出庫履歴!$D$10:$D$1009,"廃棄"))</f>
        <v/>
      </c>
      <c r="O235" s="14" t="str">
        <f>IF(C235="","",SUMIFS(入出庫履歴!$G$10:$G$1009,入出庫履歴!$E$10:$E$1009,C235,入出庫履歴!$D$10:$D$1009,"棚卸調整"))</f>
        <v/>
      </c>
      <c r="P235" s="13" t="str">
        <f t="shared" si="12"/>
        <v/>
      </c>
      <c r="Q235" s="15" t="str">
        <f t="shared" si="13"/>
        <v/>
      </c>
      <c r="R235" s="16"/>
      <c r="S235" s="16"/>
      <c r="T235" s="17" t="str">
        <f t="shared" si="14"/>
        <v/>
      </c>
      <c r="U235" s="13" t="str">
        <f t="shared" si="15"/>
        <v/>
      </c>
      <c r="V235" s="18" t="str">
        <f>IF(C235="","",IF(_xlfn.MINIFS(入出庫履歴!$K$10:$K$1009,入出庫履歴!$E$10:$E$1009,C235,入出庫履歴!$N$10:$N$1009,"&gt;0")=0,"",_xlfn.MINIFS(入出庫履歴!$K$10:$K$1009,入出庫履歴!$E$10:$E$1009,C235,入出庫履歴!$N$10:$N$1009,"&gt;0")))</f>
        <v/>
      </c>
      <c r="W235" s="17" t="str">
        <f ca="1">IF(OR(V235="",P235&lt;=0),"",IF(V235&lt;TODAY(),"期限切れ",IF(V235-TODAY()&lt;=設定!$C$4,"期限間近","")))</f>
        <v/>
      </c>
      <c r="X235" s="19"/>
      <c r="Y235" s="19"/>
      <c r="Z235" t="str">
        <f>IF(OR(T235="要発注",T235="欠品",T235="在庫異常"),COUNTIF($T$10:T235,"要発注")+COUNTIF($T$10:T235,"欠品")+COUNTIF($T$10:T235,"在庫異常"),"")</f>
        <v/>
      </c>
    </row>
    <row r="236" spans="2:26">
      <c r="B236" s="8" t="str">
        <f>IF(C236="","",COUNTA($C$10:C236))</f>
        <v/>
      </c>
      <c r="C236" s="9"/>
      <c r="D236" s="19"/>
      <c r="E236" s="19"/>
      <c r="F236" s="10"/>
      <c r="G236" s="11"/>
      <c r="H236" s="9"/>
      <c r="I236" s="11"/>
      <c r="J236" s="19"/>
      <c r="K236" s="12"/>
      <c r="L236" s="13" t="str">
        <f>IF(C236="","",SUMIFS(入出庫履歴!$G$10:$G$1009,入出庫履歴!$E$10:$E$1009,C236,入出庫履歴!$D$10:$D$1009,"入庫"))</f>
        <v/>
      </c>
      <c r="M236" s="13" t="str">
        <f>IF(C236="","",SUMIFS(入出庫履歴!$G$10:$G$1009,入出庫履歴!$E$10:$E$1009,C236,入出庫履歴!$D$10:$D$1009,"出庫"))</f>
        <v/>
      </c>
      <c r="N236" s="13" t="str">
        <f>IF(C236="","",SUMIFS(入出庫履歴!$G$10:$G$1009,入出庫履歴!$E$10:$E$1009,C236,入出庫履歴!$D$10:$D$1009,"廃棄"))</f>
        <v/>
      </c>
      <c r="O236" s="14" t="str">
        <f>IF(C236="","",SUMIFS(入出庫履歴!$G$10:$G$1009,入出庫履歴!$E$10:$E$1009,C236,入出庫履歴!$D$10:$D$1009,"棚卸調整"))</f>
        <v/>
      </c>
      <c r="P236" s="13" t="str">
        <f t="shared" si="12"/>
        <v/>
      </c>
      <c r="Q236" s="15" t="str">
        <f t="shared" si="13"/>
        <v/>
      </c>
      <c r="R236" s="16"/>
      <c r="S236" s="16"/>
      <c r="T236" s="17" t="str">
        <f t="shared" si="14"/>
        <v/>
      </c>
      <c r="U236" s="13" t="str">
        <f t="shared" si="15"/>
        <v/>
      </c>
      <c r="V236" s="18" t="str">
        <f>IF(C236="","",IF(_xlfn.MINIFS(入出庫履歴!$K$10:$K$1009,入出庫履歴!$E$10:$E$1009,C236,入出庫履歴!$N$10:$N$1009,"&gt;0")=0,"",_xlfn.MINIFS(入出庫履歴!$K$10:$K$1009,入出庫履歴!$E$10:$E$1009,C236,入出庫履歴!$N$10:$N$1009,"&gt;0")))</f>
        <v/>
      </c>
      <c r="W236" s="17" t="str">
        <f ca="1">IF(OR(V236="",P236&lt;=0),"",IF(V236&lt;TODAY(),"期限切れ",IF(V236-TODAY()&lt;=設定!$C$4,"期限間近","")))</f>
        <v/>
      </c>
      <c r="X236" s="19"/>
      <c r="Y236" s="19"/>
      <c r="Z236" t="str">
        <f>IF(OR(T236="要発注",T236="欠品",T236="在庫異常"),COUNTIF($T$10:T236,"要発注")+COUNTIF($T$10:T236,"欠品")+COUNTIF($T$10:T236,"在庫異常"),"")</f>
        <v/>
      </c>
    </row>
    <row r="237" spans="2:26">
      <c r="B237" s="8" t="str">
        <f>IF(C237="","",COUNTA($C$10:C237))</f>
        <v/>
      </c>
      <c r="C237" s="9"/>
      <c r="D237" s="19"/>
      <c r="E237" s="19"/>
      <c r="F237" s="10"/>
      <c r="G237" s="11"/>
      <c r="H237" s="9"/>
      <c r="I237" s="11"/>
      <c r="J237" s="19"/>
      <c r="K237" s="12"/>
      <c r="L237" s="13" t="str">
        <f>IF(C237="","",SUMIFS(入出庫履歴!$G$10:$G$1009,入出庫履歴!$E$10:$E$1009,C237,入出庫履歴!$D$10:$D$1009,"入庫"))</f>
        <v/>
      </c>
      <c r="M237" s="13" t="str">
        <f>IF(C237="","",SUMIFS(入出庫履歴!$G$10:$G$1009,入出庫履歴!$E$10:$E$1009,C237,入出庫履歴!$D$10:$D$1009,"出庫"))</f>
        <v/>
      </c>
      <c r="N237" s="13" t="str">
        <f>IF(C237="","",SUMIFS(入出庫履歴!$G$10:$G$1009,入出庫履歴!$E$10:$E$1009,C237,入出庫履歴!$D$10:$D$1009,"廃棄"))</f>
        <v/>
      </c>
      <c r="O237" s="14" t="str">
        <f>IF(C237="","",SUMIFS(入出庫履歴!$G$10:$G$1009,入出庫履歴!$E$10:$E$1009,C237,入出庫履歴!$D$10:$D$1009,"棚卸調整"))</f>
        <v/>
      </c>
      <c r="P237" s="13" t="str">
        <f t="shared" si="12"/>
        <v/>
      </c>
      <c r="Q237" s="15" t="str">
        <f t="shared" si="13"/>
        <v/>
      </c>
      <c r="R237" s="16"/>
      <c r="S237" s="16"/>
      <c r="T237" s="17" t="str">
        <f t="shared" si="14"/>
        <v/>
      </c>
      <c r="U237" s="13" t="str">
        <f t="shared" si="15"/>
        <v/>
      </c>
      <c r="V237" s="18" t="str">
        <f>IF(C237="","",IF(_xlfn.MINIFS(入出庫履歴!$K$10:$K$1009,入出庫履歴!$E$10:$E$1009,C237,入出庫履歴!$N$10:$N$1009,"&gt;0")=0,"",_xlfn.MINIFS(入出庫履歴!$K$10:$K$1009,入出庫履歴!$E$10:$E$1009,C237,入出庫履歴!$N$10:$N$1009,"&gt;0")))</f>
        <v/>
      </c>
      <c r="W237" s="17" t="str">
        <f ca="1">IF(OR(V237="",P237&lt;=0),"",IF(V237&lt;TODAY(),"期限切れ",IF(V237-TODAY()&lt;=設定!$C$4,"期限間近","")))</f>
        <v/>
      </c>
      <c r="X237" s="19"/>
      <c r="Y237" s="19"/>
      <c r="Z237" t="str">
        <f>IF(OR(T237="要発注",T237="欠品",T237="在庫異常"),COUNTIF($T$10:T237,"要発注")+COUNTIF($T$10:T237,"欠品")+COUNTIF($T$10:T237,"在庫異常"),"")</f>
        <v/>
      </c>
    </row>
    <row r="238" spans="2:26">
      <c r="B238" s="8" t="str">
        <f>IF(C238="","",COUNTA($C$10:C238))</f>
        <v/>
      </c>
      <c r="C238" s="9"/>
      <c r="D238" s="19"/>
      <c r="E238" s="19"/>
      <c r="F238" s="10"/>
      <c r="G238" s="11"/>
      <c r="H238" s="9"/>
      <c r="I238" s="11"/>
      <c r="J238" s="19"/>
      <c r="K238" s="12"/>
      <c r="L238" s="13" t="str">
        <f>IF(C238="","",SUMIFS(入出庫履歴!$G$10:$G$1009,入出庫履歴!$E$10:$E$1009,C238,入出庫履歴!$D$10:$D$1009,"入庫"))</f>
        <v/>
      </c>
      <c r="M238" s="13" t="str">
        <f>IF(C238="","",SUMIFS(入出庫履歴!$G$10:$G$1009,入出庫履歴!$E$10:$E$1009,C238,入出庫履歴!$D$10:$D$1009,"出庫"))</f>
        <v/>
      </c>
      <c r="N238" s="13" t="str">
        <f>IF(C238="","",SUMIFS(入出庫履歴!$G$10:$G$1009,入出庫履歴!$E$10:$E$1009,C238,入出庫履歴!$D$10:$D$1009,"廃棄"))</f>
        <v/>
      </c>
      <c r="O238" s="14" t="str">
        <f>IF(C238="","",SUMIFS(入出庫履歴!$G$10:$G$1009,入出庫履歴!$E$10:$E$1009,C238,入出庫履歴!$D$10:$D$1009,"棚卸調整"))</f>
        <v/>
      </c>
      <c r="P238" s="13" t="str">
        <f t="shared" si="12"/>
        <v/>
      </c>
      <c r="Q238" s="15" t="str">
        <f t="shared" si="13"/>
        <v/>
      </c>
      <c r="R238" s="16"/>
      <c r="S238" s="16"/>
      <c r="T238" s="17" t="str">
        <f t="shared" si="14"/>
        <v/>
      </c>
      <c r="U238" s="13" t="str">
        <f t="shared" si="15"/>
        <v/>
      </c>
      <c r="V238" s="18" t="str">
        <f>IF(C238="","",IF(_xlfn.MINIFS(入出庫履歴!$K$10:$K$1009,入出庫履歴!$E$10:$E$1009,C238,入出庫履歴!$N$10:$N$1009,"&gt;0")=0,"",_xlfn.MINIFS(入出庫履歴!$K$10:$K$1009,入出庫履歴!$E$10:$E$1009,C238,入出庫履歴!$N$10:$N$1009,"&gt;0")))</f>
        <v/>
      </c>
      <c r="W238" s="17" t="str">
        <f ca="1">IF(OR(V238="",P238&lt;=0),"",IF(V238&lt;TODAY(),"期限切れ",IF(V238-TODAY()&lt;=設定!$C$4,"期限間近","")))</f>
        <v/>
      </c>
      <c r="X238" s="19"/>
      <c r="Y238" s="19"/>
      <c r="Z238" t="str">
        <f>IF(OR(T238="要発注",T238="欠品",T238="在庫異常"),COUNTIF($T$10:T238,"要発注")+COUNTIF($T$10:T238,"欠品")+COUNTIF($T$10:T238,"在庫異常"),"")</f>
        <v/>
      </c>
    </row>
    <row r="239" spans="2:26">
      <c r="B239" s="8" t="str">
        <f>IF(C239="","",COUNTA($C$10:C239))</f>
        <v/>
      </c>
      <c r="C239" s="9"/>
      <c r="D239" s="19"/>
      <c r="E239" s="19"/>
      <c r="F239" s="10"/>
      <c r="G239" s="11"/>
      <c r="H239" s="9"/>
      <c r="I239" s="11"/>
      <c r="J239" s="19"/>
      <c r="K239" s="12"/>
      <c r="L239" s="13" t="str">
        <f>IF(C239="","",SUMIFS(入出庫履歴!$G$10:$G$1009,入出庫履歴!$E$10:$E$1009,C239,入出庫履歴!$D$10:$D$1009,"入庫"))</f>
        <v/>
      </c>
      <c r="M239" s="13" t="str">
        <f>IF(C239="","",SUMIFS(入出庫履歴!$G$10:$G$1009,入出庫履歴!$E$10:$E$1009,C239,入出庫履歴!$D$10:$D$1009,"出庫"))</f>
        <v/>
      </c>
      <c r="N239" s="13" t="str">
        <f>IF(C239="","",SUMIFS(入出庫履歴!$G$10:$G$1009,入出庫履歴!$E$10:$E$1009,C239,入出庫履歴!$D$10:$D$1009,"廃棄"))</f>
        <v/>
      </c>
      <c r="O239" s="14" t="str">
        <f>IF(C239="","",SUMIFS(入出庫履歴!$G$10:$G$1009,入出庫履歴!$E$10:$E$1009,C239,入出庫履歴!$D$10:$D$1009,"棚卸調整"))</f>
        <v/>
      </c>
      <c r="P239" s="13" t="str">
        <f t="shared" si="12"/>
        <v/>
      </c>
      <c r="Q239" s="15" t="str">
        <f t="shared" si="13"/>
        <v/>
      </c>
      <c r="R239" s="16"/>
      <c r="S239" s="16"/>
      <c r="T239" s="17" t="str">
        <f t="shared" si="14"/>
        <v/>
      </c>
      <c r="U239" s="13" t="str">
        <f t="shared" si="15"/>
        <v/>
      </c>
      <c r="V239" s="18" t="str">
        <f>IF(C239="","",IF(_xlfn.MINIFS(入出庫履歴!$K$10:$K$1009,入出庫履歴!$E$10:$E$1009,C239,入出庫履歴!$N$10:$N$1009,"&gt;0")=0,"",_xlfn.MINIFS(入出庫履歴!$K$10:$K$1009,入出庫履歴!$E$10:$E$1009,C239,入出庫履歴!$N$10:$N$1009,"&gt;0")))</f>
        <v/>
      </c>
      <c r="W239" s="17" t="str">
        <f ca="1">IF(OR(V239="",P239&lt;=0),"",IF(V239&lt;TODAY(),"期限切れ",IF(V239-TODAY()&lt;=設定!$C$4,"期限間近","")))</f>
        <v/>
      </c>
      <c r="X239" s="19"/>
      <c r="Y239" s="19"/>
      <c r="Z239" t="str">
        <f>IF(OR(T239="要発注",T239="欠品",T239="在庫異常"),COUNTIF($T$10:T239,"要発注")+COUNTIF($T$10:T239,"欠品")+COUNTIF($T$10:T239,"在庫異常"),"")</f>
        <v/>
      </c>
    </row>
    <row r="240" spans="2:26">
      <c r="B240" s="8" t="str">
        <f>IF(C240="","",COUNTA($C$10:C240))</f>
        <v/>
      </c>
      <c r="C240" s="9"/>
      <c r="D240" s="19"/>
      <c r="E240" s="19"/>
      <c r="F240" s="10"/>
      <c r="G240" s="11"/>
      <c r="H240" s="9"/>
      <c r="I240" s="11"/>
      <c r="J240" s="19"/>
      <c r="K240" s="12"/>
      <c r="L240" s="13" t="str">
        <f>IF(C240="","",SUMIFS(入出庫履歴!$G$10:$G$1009,入出庫履歴!$E$10:$E$1009,C240,入出庫履歴!$D$10:$D$1009,"入庫"))</f>
        <v/>
      </c>
      <c r="M240" s="13" t="str">
        <f>IF(C240="","",SUMIFS(入出庫履歴!$G$10:$G$1009,入出庫履歴!$E$10:$E$1009,C240,入出庫履歴!$D$10:$D$1009,"出庫"))</f>
        <v/>
      </c>
      <c r="N240" s="13" t="str">
        <f>IF(C240="","",SUMIFS(入出庫履歴!$G$10:$G$1009,入出庫履歴!$E$10:$E$1009,C240,入出庫履歴!$D$10:$D$1009,"廃棄"))</f>
        <v/>
      </c>
      <c r="O240" s="14" t="str">
        <f>IF(C240="","",SUMIFS(入出庫履歴!$G$10:$G$1009,入出庫履歴!$E$10:$E$1009,C240,入出庫履歴!$D$10:$D$1009,"棚卸調整"))</f>
        <v/>
      </c>
      <c r="P240" s="13" t="str">
        <f t="shared" si="12"/>
        <v/>
      </c>
      <c r="Q240" s="15" t="str">
        <f t="shared" si="13"/>
        <v/>
      </c>
      <c r="R240" s="16"/>
      <c r="S240" s="16"/>
      <c r="T240" s="17" t="str">
        <f t="shared" si="14"/>
        <v/>
      </c>
      <c r="U240" s="13" t="str">
        <f t="shared" si="15"/>
        <v/>
      </c>
      <c r="V240" s="18" t="str">
        <f>IF(C240="","",IF(_xlfn.MINIFS(入出庫履歴!$K$10:$K$1009,入出庫履歴!$E$10:$E$1009,C240,入出庫履歴!$N$10:$N$1009,"&gt;0")=0,"",_xlfn.MINIFS(入出庫履歴!$K$10:$K$1009,入出庫履歴!$E$10:$E$1009,C240,入出庫履歴!$N$10:$N$1009,"&gt;0")))</f>
        <v/>
      </c>
      <c r="W240" s="17" t="str">
        <f ca="1">IF(OR(V240="",P240&lt;=0),"",IF(V240&lt;TODAY(),"期限切れ",IF(V240-TODAY()&lt;=設定!$C$4,"期限間近","")))</f>
        <v/>
      </c>
      <c r="X240" s="19"/>
      <c r="Y240" s="19"/>
      <c r="Z240" t="str">
        <f>IF(OR(T240="要発注",T240="欠品",T240="在庫異常"),COUNTIF($T$10:T240,"要発注")+COUNTIF($T$10:T240,"欠品")+COUNTIF($T$10:T240,"在庫異常"),"")</f>
        <v/>
      </c>
    </row>
    <row r="241" spans="2:26">
      <c r="B241" s="8" t="str">
        <f>IF(C241="","",COUNTA($C$10:C241))</f>
        <v/>
      </c>
      <c r="C241" s="9"/>
      <c r="D241" s="19"/>
      <c r="E241" s="19"/>
      <c r="F241" s="10"/>
      <c r="G241" s="11"/>
      <c r="H241" s="9"/>
      <c r="I241" s="11"/>
      <c r="J241" s="19"/>
      <c r="K241" s="12"/>
      <c r="L241" s="13" t="str">
        <f>IF(C241="","",SUMIFS(入出庫履歴!$G$10:$G$1009,入出庫履歴!$E$10:$E$1009,C241,入出庫履歴!$D$10:$D$1009,"入庫"))</f>
        <v/>
      </c>
      <c r="M241" s="13" t="str">
        <f>IF(C241="","",SUMIFS(入出庫履歴!$G$10:$G$1009,入出庫履歴!$E$10:$E$1009,C241,入出庫履歴!$D$10:$D$1009,"出庫"))</f>
        <v/>
      </c>
      <c r="N241" s="13" t="str">
        <f>IF(C241="","",SUMIFS(入出庫履歴!$G$10:$G$1009,入出庫履歴!$E$10:$E$1009,C241,入出庫履歴!$D$10:$D$1009,"廃棄"))</f>
        <v/>
      </c>
      <c r="O241" s="14" t="str">
        <f>IF(C241="","",SUMIFS(入出庫履歴!$G$10:$G$1009,入出庫履歴!$E$10:$E$1009,C241,入出庫履歴!$D$10:$D$1009,"棚卸調整"))</f>
        <v/>
      </c>
      <c r="P241" s="13" t="str">
        <f t="shared" si="12"/>
        <v/>
      </c>
      <c r="Q241" s="15" t="str">
        <f t="shared" si="13"/>
        <v/>
      </c>
      <c r="R241" s="16"/>
      <c r="S241" s="16"/>
      <c r="T241" s="17" t="str">
        <f t="shared" si="14"/>
        <v/>
      </c>
      <c r="U241" s="13" t="str">
        <f t="shared" si="15"/>
        <v/>
      </c>
      <c r="V241" s="18" t="str">
        <f>IF(C241="","",IF(_xlfn.MINIFS(入出庫履歴!$K$10:$K$1009,入出庫履歴!$E$10:$E$1009,C241,入出庫履歴!$N$10:$N$1009,"&gt;0")=0,"",_xlfn.MINIFS(入出庫履歴!$K$10:$K$1009,入出庫履歴!$E$10:$E$1009,C241,入出庫履歴!$N$10:$N$1009,"&gt;0")))</f>
        <v/>
      </c>
      <c r="W241" s="17" t="str">
        <f ca="1">IF(OR(V241="",P241&lt;=0),"",IF(V241&lt;TODAY(),"期限切れ",IF(V241-TODAY()&lt;=設定!$C$4,"期限間近","")))</f>
        <v/>
      </c>
      <c r="X241" s="19"/>
      <c r="Y241" s="19"/>
      <c r="Z241" t="str">
        <f>IF(OR(T241="要発注",T241="欠品",T241="在庫異常"),COUNTIF($T$10:T241,"要発注")+COUNTIF($T$10:T241,"欠品")+COUNTIF($T$10:T241,"在庫異常"),"")</f>
        <v/>
      </c>
    </row>
    <row r="242" spans="2:26">
      <c r="B242" s="8" t="str">
        <f>IF(C242="","",COUNTA($C$10:C242))</f>
        <v/>
      </c>
      <c r="C242" s="9"/>
      <c r="D242" s="19"/>
      <c r="E242" s="19"/>
      <c r="F242" s="10"/>
      <c r="G242" s="11"/>
      <c r="H242" s="9"/>
      <c r="I242" s="11"/>
      <c r="J242" s="19"/>
      <c r="K242" s="12"/>
      <c r="L242" s="13" t="str">
        <f>IF(C242="","",SUMIFS(入出庫履歴!$G$10:$G$1009,入出庫履歴!$E$10:$E$1009,C242,入出庫履歴!$D$10:$D$1009,"入庫"))</f>
        <v/>
      </c>
      <c r="M242" s="13" t="str">
        <f>IF(C242="","",SUMIFS(入出庫履歴!$G$10:$G$1009,入出庫履歴!$E$10:$E$1009,C242,入出庫履歴!$D$10:$D$1009,"出庫"))</f>
        <v/>
      </c>
      <c r="N242" s="13" t="str">
        <f>IF(C242="","",SUMIFS(入出庫履歴!$G$10:$G$1009,入出庫履歴!$E$10:$E$1009,C242,入出庫履歴!$D$10:$D$1009,"廃棄"))</f>
        <v/>
      </c>
      <c r="O242" s="14" t="str">
        <f>IF(C242="","",SUMIFS(入出庫履歴!$G$10:$G$1009,入出庫履歴!$E$10:$E$1009,C242,入出庫履歴!$D$10:$D$1009,"棚卸調整"))</f>
        <v/>
      </c>
      <c r="P242" s="13" t="str">
        <f t="shared" si="12"/>
        <v/>
      </c>
      <c r="Q242" s="15" t="str">
        <f t="shared" si="13"/>
        <v/>
      </c>
      <c r="R242" s="16"/>
      <c r="S242" s="16"/>
      <c r="T242" s="17" t="str">
        <f t="shared" si="14"/>
        <v/>
      </c>
      <c r="U242" s="13" t="str">
        <f t="shared" si="15"/>
        <v/>
      </c>
      <c r="V242" s="18" t="str">
        <f>IF(C242="","",IF(_xlfn.MINIFS(入出庫履歴!$K$10:$K$1009,入出庫履歴!$E$10:$E$1009,C242,入出庫履歴!$N$10:$N$1009,"&gt;0")=0,"",_xlfn.MINIFS(入出庫履歴!$K$10:$K$1009,入出庫履歴!$E$10:$E$1009,C242,入出庫履歴!$N$10:$N$1009,"&gt;0")))</f>
        <v/>
      </c>
      <c r="W242" s="17" t="str">
        <f ca="1">IF(OR(V242="",P242&lt;=0),"",IF(V242&lt;TODAY(),"期限切れ",IF(V242-TODAY()&lt;=設定!$C$4,"期限間近","")))</f>
        <v/>
      </c>
      <c r="X242" s="19"/>
      <c r="Y242" s="19"/>
      <c r="Z242" t="str">
        <f>IF(OR(T242="要発注",T242="欠品",T242="在庫異常"),COUNTIF($T$10:T242,"要発注")+COUNTIF($T$10:T242,"欠品")+COUNTIF($T$10:T242,"在庫異常"),"")</f>
        <v/>
      </c>
    </row>
    <row r="243" spans="2:26">
      <c r="B243" s="8" t="str">
        <f>IF(C243="","",COUNTA($C$10:C243))</f>
        <v/>
      </c>
      <c r="C243" s="9"/>
      <c r="D243" s="19"/>
      <c r="E243" s="19"/>
      <c r="F243" s="10"/>
      <c r="G243" s="11"/>
      <c r="H243" s="9"/>
      <c r="I243" s="11"/>
      <c r="J243" s="19"/>
      <c r="K243" s="12"/>
      <c r="L243" s="13" t="str">
        <f>IF(C243="","",SUMIFS(入出庫履歴!$G$10:$G$1009,入出庫履歴!$E$10:$E$1009,C243,入出庫履歴!$D$10:$D$1009,"入庫"))</f>
        <v/>
      </c>
      <c r="M243" s="13" t="str">
        <f>IF(C243="","",SUMIFS(入出庫履歴!$G$10:$G$1009,入出庫履歴!$E$10:$E$1009,C243,入出庫履歴!$D$10:$D$1009,"出庫"))</f>
        <v/>
      </c>
      <c r="N243" s="13" t="str">
        <f>IF(C243="","",SUMIFS(入出庫履歴!$G$10:$G$1009,入出庫履歴!$E$10:$E$1009,C243,入出庫履歴!$D$10:$D$1009,"廃棄"))</f>
        <v/>
      </c>
      <c r="O243" s="14" t="str">
        <f>IF(C243="","",SUMIFS(入出庫履歴!$G$10:$G$1009,入出庫履歴!$E$10:$E$1009,C243,入出庫履歴!$D$10:$D$1009,"棚卸調整"))</f>
        <v/>
      </c>
      <c r="P243" s="13" t="str">
        <f t="shared" si="12"/>
        <v/>
      </c>
      <c r="Q243" s="15" t="str">
        <f t="shared" si="13"/>
        <v/>
      </c>
      <c r="R243" s="16"/>
      <c r="S243" s="16"/>
      <c r="T243" s="17" t="str">
        <f t="shared" si="14"/>
        <v/>
      </c>
      <c r="U243" s="13" t="str">
        <f t="shared" si="15"/>
        <v/>
      </c>
      <c r="V243" s="18" t="str">
        <f>IF(C243="","",IF(_xlfn.MINIFS(入出庫履歴!$K$10:$K$1009,入出庫履歴!$E$10:$E$1009,C243,入出庫履歴!$N$10:$N$1009,"&gt;0")=0,"",_xlfn.MINIFS(入出庫履歴!$K$10:$K$1009,入出庫履歴!$E$10:$E$1009,C243,入出庫履歴!$N$10:$N$1009,"&gt;0")))</f>
        <v/>
      </c>
      <c r="W243" s="17" t="str">
        <f ca="1">IF(OR(V243="",P243&lt;=0),"",IF(V243&lt;TODAY(),"期限切れ",IF(V243-TODAY()&lt;=設定!$C$4,"期限間近","")))</f>
        <v/>
      </c>
      <c r="X243" s="19"/>
      <c r="Y243" s="19"/>
      <c r="Z243" t="str">
        <f>IF(OR(T243="要発注",T243="欠品",T243="在庫異常"),COUNTIF($T$10:T243,"要発注")+COUNTIF($T$10:T243,"欠品")+COUNTIF($T$10:T243,"在庫異常"),"")</f>
        <v/>
      </c>
    </row>
    <row r="244" spans="2:26">
      <c r="B244" s="8" t="str">
        <f>IF(C244="","",COUNTA($C$10:C244))</f>
        <v/>
      </c>
      <c r="C244" s="9"/>
      <c r="D244" s="19"/>
      <c r="E244" s="19"/>
      <c r="F244" s="10"/>
      <c r="G244" s="11"/>
      <c r="H244" s="9"/>
      <c r="I244" s="11"/>
      <c r="J244" s="19"/>
      <c r="K244" s="12"/>
      <c r="L244" s="13" t="str">
        <f>IF(C244="","",SUMIFS(入出庫履歴!$G$10:$G$1009,入出庫履歴!$E$10:$E$1009,C244,入出庫履歴!$D$10:$D$1009,"入庫"))</f>
        <v/>
      </c>
      <c r="M244" s="13" t="str">
        <f>IF(C244="","",SUMIFS(入出庫履歴!$G$10:$G$1009,入出庫履歴!$E$10:$E$1009,C244,入出庫履歴!$D$10:$D$1009,"出庫"))</f>
        <v/>
      </c>
      <c r="N244" s="13" t="str">
        <f>IF(C244="","",SUMIFS(入出庫履歴!$G$10:$G$1009,入出庫履歴!$E$10:$E$1009,C244,入出庫履歴!$D$10:$D$1009,"廃棄"))</f>
        <v/>
      </c>
      <c r="O244" s="14" t="str">
        <f>IF(C244="","",SUMIFS(入出庫履歴!$G$10:$G$1009,入出庫履歴!$E$10:$E$1009,C244,入出庫履歴!$D$10:$D$1009,"棚卸調整"))</f>
        <v/>
      </c>
      <c r="P244" s="13" t="str">
        <f t="shared" si="12"/>
        <v/>
      </c>
      <c r="Q244" s="15" t="str">
        <f t="shared" si="13"/>
        <v/>
      </c>
      <c r="R244" s="16"/>
      <c r="S244" s="16"/>
      <c r="T244" s="17" t="str">
        <f t="shared" si="14"/>
        <v/>
      </c>
      <c r="U244" s="13" t="str">
        <f t="shared" si="15"/>
        <v/>
      </c>
      <c r="V244" s="18" t="str">
        <f>IF(C244="","",IF(_xlfn.MINIFS(入出庫履歴!$K$10:$K$1009,入出庫履歴!$E$10:$E$1009,C244,入出庫履歴!$N$10:$N$1009,"&gt;0")=0,"",_xlfn.MINIFS(入出庫履歴!$K$10:$K$1009,入出庫履歴!$E$10:$E$1009,C244,入出庫履歴!$N$10:$N$1009,"&gt;0")))</f>
        <v/>
      </c>
      <c r="W244" s="17" t="str">
        <f ca="1">IF(OR(V244="",P244&lt;=0),"",IF(V244&lt;TODAY(),"期限切れ",IF(V244-TODAY()&lt;=設定!$C$4,"期限間近","")))</f>
        <v/>
      </c>
      <c r="X244" s="19"/>
      <c r="Y244" s="19"/>
      <c r="Z244" t="str">
        <f>IF(OR(T244="要発注",T244="欠品",T244="在庫異常"),COUNTIF($T$10:T244,"要発注")+COUNTIF($T$10:T244,"欠品")+COUNTIF($T$10:T244,"在庫異常"),"")</f>
        <v/>
      </c>
    </row>
    <row r="245" spans="2:26">
      <c r="B245" s="8" t="str">
        <f>IF(C245="","",COUNTA($C$10:C245))</f>
        <v/>
      </c>
      <c r="C245" s="9"/>
      <c r="D245" s="19"/>
      <c r="E245" s="19"/>
      <c r="F245" s="10"/>
      <c r="G245" s="11"/>
      <c r="H245" s="9"/>
      <c r="I245" s="11"/>
      <c r="J245" s="19"/>
      <c r="K245" s="12"/>
      <c r="L245" s="13" t="str">
        <f>IF(C245="","",SUMIFS(入出庫履歴!$G$10:$G$1009,入出庫履歴!$E$10:$E$1009,C245,入出庫履歴!$D$10:$D$1009,"入庫"))</f>
        <v/>
      </c>
      <c r="M245" s="13" t="str">
        <f>IF(C245="","",SUMIFS(入出庫履歴!$G$10:$G$1009,入出庫履歴!$E$10:$E$1009,C245,入出庫履歴!$D$10:$D$1009,"出庫"))</f>
        <v/>
      </c>
      <c r="N245" s="13" t="str">
        <f>IF(C245="","",SUMIFS(入出庫履歴!$G$10:$G$1009,入出庫履歴!$E$10:$E$1009,C245,入出庫履歴!$D$10:$D$1009,"廃棄"))</f>
        <v/>
      </c>
      <c r="O245" s="14" t="str">
        <f>IF(C245="","",SUMIFS(入出庫履歴!$G$10:$G$1009,入出庫履歴!$E$10:$E$1009,C245,入出庫履歴!$D$10:$D$1009,"棚卸調整"))</f>
        <v/>
      </c>
      <c r="P245" s="13" t="str">
        <f t="shared" si="12"/>
        <v/>
      </c>
      <c r="Q245" s="15" t="str">
        <f t="shared" si="13"/>
        <v/>
      </c>
      <c r="R245" s="16"/>
      <c r="S245" s="16"/>
      <c r="T245" s="17" t="str">
        <f t="shared" si="14"/>
        <v/>
      </c>
      <c r="U245" s="13" t="str">
        <f t="shared" si="15"/>
        <v/>
      </c>
      <c r="V245" s="18" t="str">
        <f>IF(C245="","",IF(_xlfn.MINIFS(入出庫履歴!$K$10:$K$1009,入出庫履歴!$E$10:$E$1009,C245,入出庫履歴!$N$10:$N$1009,"&gt;0")=0,"",_xlfn.MINIFS(入出庫履歴!$K$10:$K$1009,入出庫履歴!$E$10:$E$1009,C245,入出庫履歴!$N$10:$N$1009,"&gt;0")))</f>
        <v/>
      </c>
      <c r="W245" s="17" t="str">
        <f ca="1">IF(OR(V245="",P245&lt;=0),"",IF(V245&lt;TODAY(),"期限切れ",IF(V245-TODAY()&lt;=設定!$C$4,"期限間近","")))</f>
        <v/>
      </c>
      <c r="X245" s="19"/>
      <c r="Y245" s="19"/>
      <c r="Z245" t="str">
        <f>IF(OR(T245="要発注",T245="欠品",T245="在庫異常"),COUNTIF($T$10:T245,"要発注")+COUNTIF($T$10:T245,"欠品")+COUNTIF($T$10:T245,"在庫異常"),"")</f>
        <v/>
      </c>
    </row>
    <row r="246" spans="2:26">
      <c r="B246" s="8" t="str">
        <f>IF(C246="","",COUNTA($C$10:C246))</f>
        <v/>
      </c>
      <c r="C246" s="9"/>
      <c r="D246" s="19"/>
      <c r="E246" s="19"/>
      <c r="F246" s="10"/>
      <c r="G246" s="11"/>
      <c r="H246" s="9"/>
      <c r="I246" s="11"/>
      <c r="J246" s="19"/>
      <c r="K246" s="12"/>
      <c r="L246" s="13" t="str">
        <f>IF(C246="","",SUMIFS(入出庫履歴!$G$10:$G$1009,入出庫履歴!$E$10:$E$1009,C246,入出庫履歴!$D$10:$D$1009,"入庫"))</f>
        <v/>
      </c>
      <c r="M246" s="13" t="str">
        <f>IF(C246="","",SUMIFS(入出庫履歴!$G$10:$G$1009,入出庫履歴!$E$10:$E$1009,C246,入出庫履歴!$D$10:$D$1009,"出庫"))</f>
        <v/>
      </c>
      <c r="N246" s="13" t="str">
        <f>IF(C246="","",SUMIFS(入出庫履歴!$G$10:$G$1009,入出庫履歴!$E$10:$E$1009,C246,入出庫履歴!$D$10:$D$1009,"廃棄"))</f>
        <v/>
      </c>
      <c r="O246" s="14" t="str">
        <f>IF(C246="","",SUMIFS(入出庫履歴!$G$10:$G$1009,入出庫履歴!$E$10:$E$1009,C246,入出庫履歴!$D$10:$D$1009,"棚卸調整"))</f>
        <v/>
      </c>
      <c r="P246" s="13" t="str">
        <f t="shared" si="12"/>
        <v/>
      </c>
      <c r="Q246" s="15" t="str">
        <f t="shared" si="13"/>
        <v/>
      </c>
      <c r="R246" s="16"/>
      <c r="S246" s="16"/>
      <c r="T246" s="17" t="str">
        <f t="shared" si="14"/>
        <v/>
      </c>
      <c r="U246" s="13" t="str">
        <f t="shared" si="15"/>
        <v/>
      </c>
      <c r="V246" s="18" t="str">
        <f>IF(C246="","",IF(_xlfn.MINIFS(入出庫履歴!$K$10:$K$1009,入出庫履歴!$E$10:$E$1009,C246,入出庫履歴!$N$10:$N$1009,"&gt;0")=0,"",_xlfn.MINIFS(入出庫履歴!$K$10:$K$1009,入出庫履歴!$E$10:$E$1009,C246,入出庫履歴!$N$10:$N$1009,"&gt;0")))</f>
        <v/>
      </c>
      <c r="W246" s="17" t="str">
        <f ca="1">IF(OR(V246="",P246&lt;=0),"",IF(V246&lt;TODAY(),"期限切れ",IF(V246-TODAY()&lt;=設定!$C$4,"期限間近","")))</f>
        <v/>
      </c>
      <c r="X246" s="19"/>
      <c r="Y246" s="19"/>
      <c r="Z246" t="str">
        <f>IF(OR(T246="要発注",T246="欠品",T246="在庫異常"),COUNTIF($T$10:T246,"要発注")+COUNTIF($T$10:T246,"欠品")+COUNTIF($T$10:T246,"在庫異常"),"")</f>
        <v/>
      </c>
    </row>
    <row r="247" spans="2:26">
      <c r="B247" s="8" t="str">
        <f>IF(C247="","",COUNTA($C$10:C247))</f>
        <v/>
      </c>
      <c r="C247" s="9"/>
      <c r="D247" s="19"/>
      <c r="E247" s="19"/>
      <c r="F247" s="10"/>
      <c r="G247" s="11"/>
      <c r="H247" s="9"/>
      <c r="I247" s="11"/>
      <c r="J247" s="19"/>
      <c r="K247" s="12"/>
      <c r="L247" s="13" t="str">
        <f>IF(C247="","",SUMIFS(入出庫履歴!$G$10:$G$1009,入出庫履歴!$E$10:$E$1009,C247,入出庫履歴!$D$10:$D$1009,"入庫"))</f>
        <v/>
      </c>
      <c r="M247" s="13" t="str">
        <f>IF(C247="","",SUMIFS(入出庫履歴!$G$10:$G$1009,入出庫履歴!$E$10:$E$1009,C247,入出庫履歴!$D$10:$D$1009,"出庫"))</f>
        <v/>
      </c>
      <c r="N247" s="13" t="str">
        <f>IF(C247="","",SUMIFS(入出庫履歴!$G$10:$G$1009,入出庫履歴!$E$10:$E$1009,C247,入出庫履歴!$D$10:$D$1009,"廃棄"))</f>
        <v/>
      </c>
      <c r="O247" s="14" t="str">
        <f>IF(C247="","",SUMIFS(入出庫履歴!$G$10:$G$1009,入出庫履歴!$E$10:$E$1009,C247,入出庫履歴!$D$10:$D$1009,"棚卸調整"))</f>
        <v/>
      </c>
      <c r="P247" s="13" t="str">
        <f t="shared" si="12"/>
        <v/>
      </c>
      <c r="Q247" s="15" t="str">
        <f t="shared" si="13"/>
        <v/>
      </c>
      <c r="R247" s="16"/>
      <c r="S247" s="16"/>
      <c r="T247" s="17" t="str">
        <f t="shared" si="14"/>
        <v/>
      </c>
      <c r="U247" s="13" t="str">
        <f t="shared" si="15"/>
        <v/>
      </c>
      <c r="V247" s="18" t="str">
        <f>IF(C247="","",IF(_xlfn.MINIFS(入出庫履歴!$K$10:$K$1009,入出庫履歴!$E$10:$E$1009,C247,入出庫履歴!$N$10:$N$1009,"&gt;0")=0,"",_xlfn.MINIFS(入出庫履歴!$K$10:$K$1009,入出庫履歴!$E$10:$E$1009,C247,入出庫履歴!$N$10:$N$1009,"&gt;0")))</f>
        <v/>
      </c>
      <c r="W247" s="17" t="str">
        <f ca="1">IF(OR(V247="",P247&lt;=0),"",IF(V247&lt;TODAY(),"期限切れ",IF(V247-TODAY()&lt;=設定!$C$4,"期限間近","")))</f>
        <v/>
      </c>
      <c r="X247" s="19"/>
      <c r="Y247" s="19"/>
      <c r="Z247" t="str">
        <f>IF(OR(T247="要発注",T247="欠品",T247="在庫異常"),COUNTIF($T$10:T247,"要発注")+COUNTIF($T$10:T247,"欠品")+COUNTIF($T$10:T247,"在庫異常"),"")</f>
        <v/>
      </c>
    </row>
    <row r="248" spans="2:26">
      <c r="B248" s="8" t="str">
        <f>IF(C248="","",COUNTA($C$10:C248))</f>
        <v/>
      </c>
      <c r="C248" s="9"/>
      <c r="D248" s="19"/>
      <c r="E248" s="19"/>
      <c r="F248" s="10"/>
      <c r="G248" s="11"/>
      <c r="H248" s="9"/>
      <c r="I248" s="11"/>
      <c r="J248" s="19"/>
      <c r="K248" s="12"/>
      <c r="L248" s="13" t="str">
        <f>IF(C248="","",SUMIFS(入出庫履歴!$G$10:$G$1009,入出庫履歴!$E$10:$E$1009,C248,入出庫履歴!$D$10:$D$1009,"入庫"))</f>
        <v/>
      </c>
      <c r="M248" s="13" t="str">
        <f>IF(C248="","",SUMIFS(入出庫履歴!$G$10:$G$1009,入出庫履歴!$E$10:$E$1009,C248,入出庫履歴!$D$10:$D$1009,"出庫"))</f>
        <v/>
      </c>
      <c r="N248" s="13" t="str">
        <f>IF(C248="","",SUMIFS(入出庫履歴!$G$10:$G$1009,入出庫履歴!$E$10:$E$1009,C248,入出庫履歴!$D$10:$D$1009,"廃棄"))</f>
        <v/>
      </c>
      <c r="O248" s="14" t="str">
        <f>IF(C248="","",SUMIFS(入出庫履歴!$G$10:$G$1009,入出庫履歴!$E$10:$E$1009,C248,入出庫履歴!$D$10:$D$1009,"棚卸調整"))</f>
        <v/>
      </c>
      <c r="P248" s="13" t="str">
        <f t="shared" si="12"/>
        <v/>
      </c>
      <c r="Q248" s="15" t="str">
        <f t="shared" si="13"/>
        <v/>
      </c>
      <c r="R248" s="16"/>
      <c r="S248" s="16"/>
      <c r="T248" s="17" t="str">
        <f t="shared" si="14"/>
        <v/>
      </c>
      <c r="U248" s="13" t="str">
        <f t="shared" si="15"/>
        <v/>
      </c>
      <c r="V248" s="18" t="str">
        <f>IF(C248="","",IF(_xlfn.MINIFS(入出庫履歴!$K$10:$K$1009,入出庫履歴!$E$10:$E$1009,C248,入出庫履歴!$N$10:$N$1009,"&gt;0")=0,"",_xlfn.MINIFS(入出庫履歴!$K$10:$K$1009,入出庫履歴!$E$10:$E$1009,C248,入出庫履歴!$N$10:$N$1009,"&gt;0")))</f>
        <v/>
      </c>
      <c r="W248" s="17" t="str">
        <f ca="1">IF(OR(V248="",P248&lt;=0),"",IF(V248&lt;TODAY(),"期限切れ",IF(V248-TODAY()&lt;=設定!$C$4,"期限間近","")))</f>
        <v/>
      </c>
      <c r="X248" s="19"/>
      <c r="Y248" s="19"/>
      <c r="Z248" t="str">
        <f>IF(OR(T248="要発注",T248="欠品",T248="在庫異常"),COUNTIF($T$10:T248,"要発注")+COUNTIF($T$10:T248,"欠品")+COUNTIF($T$10:T248,"在庫異常"),"")</f>
        <v/>
      </c>
    </row>
    <row r="249" spans="2:26">
      <c r="B249" s="8" t="str">
        <f>IF(C249="","",COUNTA($C$10:C249))</f>
        <v/>
      </c>
      <c r="C249" s="9"/>
      <c r="D249" s="19"/>
      <c r="E249" s="19"/>
      <c r="F249" s="10"/>
      <c r="G249" s="11"/>
      <c r="H249" s="9"/>
      <c r="I249" s="11"/>
      <c r="J249" s="19"/>
      <c r="K249" s="12"/>
      <c r="L249" s="13" t="str">
        <f>IF(C249="","",SUMIFS(入出庫履歴!$G$10:$G$1009,入出庫履歴!$E$10:$E$1009,C249,入出庫履歴!$D$10:$D$1009,"入庫"))</f>
        <v/>
      </c>
      <c r="M249" s="13" t="str">
        <f>IF(C249="","",SUMIFS(入出庫履歴!$G$10:$G$1009,入出庫履歴!$E$10:$E$1009,C249,入出庫履歴!$D$10:$D$1009,"出庫"))</f>
        <v/>
      </c>
      <c r="N249" s="13" t="str">
        <f>IF(C249="","",SUMIFS(入出庫履歴!$G$10:$G$1009,入出庫履歴!$E$10:$E$1009,C249,入出庫履歴!$D$10:$D$1009,"廃棄"))</f>
        <v/>
      </c>
      <c r="O249" s="14" t="str">
        <f>IF(C249="","",SUMIFS(入出庫履歴!$G$10:$G$1009,入出庫履歴!$E$10:$E$1009,C249,入出庫履歴!$D$10:$D$1009,"棚卸調整"))</f>
        <v/>
      </c>
      <c r="P249" s="13" t="str">
        <f t="shared" si="12"/>
        <v/>
      </c>
      <c r="Q249" s="15" t="str">
        <f t="shared" si="13"/>
        <v/>
      </c>
      <c r="R249" s="16"/>
      <c r="S249" s="16"/>
      <c r="T249" s="17" t="str">
        <f t="shared" si="14"/>
        <v/>
      </c>
      <c r="U249" s="13" t="str">
        <f t="shared" si="15"/>
        <v/>
      </c>
      <c r="V249" s="18" t="str">
        <f>IF(C249="","",IF(_xlfn.MINIFS(入出庫履歴!$K$10:$K$1009,入出庫履歴!$E$10:$E$1009,C249,入出庫履歴!$N$10:$N$1009,"&gt;0")=0,"",_xlfn.MINIFS(入出庫履歴!$K$10:$K$1009,入出庫履歴!$E$10:$E$1009,C249,入出庫履歴!$N$10:$N$1009,"&gt;0")))</f>
        <v/>
      </c>
      <c r="W249" s="17" t="str">
        <f ca="1">IF(OR(V249="",P249&lt;=0),"",IF(V249&lt;TODAY(),"期限切れ",IF(V249-TODAY()&lt;=設定!$C$4,"期限間近","")))</f>
        <v/>
      </c>
      <c r="X249" s="19"/>
      <c r="Y249" s="19"/>
      <c r="Z249" t="str">
        <f>IF(OR(T249="要発注",T249="欠品",T249="在庫異常"),COUNTIF($T$10:T249,"要発注")+COUNTIF($T$10:T249,"欠品")+COUNTIF($T$10:T249,"在庫異常"),"")</f>
        <v/>
      </c>
    </row>
    <row r="250" spans="2:26">
      <c r="B250" s="8" t="str">
        <f>IF(C250="","",COUNTA($C$10:C250))</f>
        <v/>
      </c>
      <c r="C250" s="9"/>
      <c r="D250" s="19"/>
      <c r="E250" s="19"/>
      <c r="F250" s="10"/>
      <c r="G250" s="11"/>
      <c r="H250" s="9"/>
      <c r="I250" s="11"/>
      <c r="J250" s="19"/>
      <c r="K250" s="12"/>
      <c r="L250" s="13" t="str">
        <f>IF(C250="","",SUMIFS(入出庫履歴!$G$10:$G$1009,入出庫履歴!$E$10:$E$1009,C250,入出庫履歴!$D$10:$D$1009,"入庫"))</f>
        <v/>
      </c>
      <c r="M250" s="13" t="str">
        <f>IF(C250="","",SUMIFS(入出庫履歴!$G$10:$G$1009,入出庫履歴!$E$10:$E$1009,C250,入出庫履歴!$D$10:$D$1009,"出庫"))</f>
        <v/>
      </c>
      <c r="N250" s="13" t="str">
        <f>IF(C250="","",SUMIFS(入出庫履歴!$G$10:$G$1009,入出庫履歴!$E$10:$E$1009,C250,入出庫履歴!$D$10:$D$1009,"廃棄"))</f>
        <v/>
      </c>
      <c r="O250" s="14" t="str">
        <f>IF(C250="","",SUMIFS(入出庫履歴!$G$10:$G$1009,入出庫履歴!$E$10:$E$1009,C250,入出庫履歴!$D$10:$D$1009,"棚卸調整"))</f>
        <v/>
      </c>
      <c r="P250" s="13" t="str">
        <f t="shared" si="12"/>
        <v/>
      </c>
      <c r="Q250" s="15" t="str">
        <f t="shared" si="13"/>
        <v/>
      </c>
      <c r="R250" s="16"/>
      <c r="S250" s="16"/>
      <c r="T250" s="17" t="str">
        <f t="shared" si="14"/>
        <v/>
      </c>
      <c r="U250" s="13" t="str">
        <f t="shared" si="15"/>
        <v/>
      </c>
      <c r="V250" s="18" t="str">
        <f>IF(C250="","",IF(_xlfn.MINIFS(入出庫履歴!$K$10:$K$1009,入出庫履歴!$E$10:$E$1009,C250,入出庫履歴!$N$10:$N$1009,"&gt;0")=0,"",_xlfn.MINIFS(入出庫履歴!$K$10:$K$1009,入出庫履歴!$E$10:$E$1009,C250,入出庫履歴!$N$10:$N$1009,"&gt;0")))</f>
        <v/>
      </c>
      <c r="W250" s="17" t="str">
        <f ca="1">IF(OR(V250="",P250&lt;=0),"",IF(V250&lt;TODAY(),"期限切れ",IF(V250-TODAY()&lt;=設定!$C$4,"期限間近","")))</f>
        <v/>
      </c>
      <c r="X250" s="19"/>
      <c r="Y250" s="19"/>
      <c r="Z250" t="str">
        <f>IF(OR(T250="要発注",T250="欠品",T250="在庫異常"),COUNTIF($T$10:T250,"要発注")+COUNTIF($T$10:T250,"欠品")+COUNTIF($T$10:T250,"在庫異常"),"")</f>
        <v/>
      </c>
    </row>
    <row r="251" spans="2:26">
      <c r="B251" s="8" t="str">
        <f>IF(C251="","",COUNTA($C$10:C251))</f>
        <v/>
      </c>
      <c r="C251" s="9"/>
      <c r="D251" s="19"/>
      <c r="E251" s="19"/>
      <c r="F251" s="10"/>
      <c r="G251" s="11"/>
      <c r="H251" s="9"/>
      <c r="I251" s="11"/>
      <c r="J251" s="19"/>
      <c r="K251" s="12"/>
      <c r="L251" s="13" t="str">
        <f>IF(C251="","",SUMIFS(入出庫履歴!$G$10:$G$1009,入出庫履歴!$E$10:$E$1009,C251,入出庫履歴!$D$10:$D$1009,"入庫"))</f>
        <v/>
      </c>
      <c r="M251" s="13" t="str">
        <f>IF(C251="","",SUMIFS(入出庫履歴!$G$10:$G$1009,入出庫履歴!$E$10:$E$1009,C251,入出庫履歴!$D$10:$D$1009,"出庫"))</f>
        <v/>
      </c>
      <c r="N251" s="13" t="str">
        <f>IF(C251="","",SUMIFS(入出庫履歴!$G$10:$G$1009,入出庫履歴!$E$10:$E$1009,C251,入出庫履歴!$D$10:$D$1009,"廃棄"))</f>
        <v/>
      </c>
      <c r="O251" s="14" t="str">
        <f>IF(C251="","",SUMIFS(入出庫履歴!$G$10:$G$1009,入出庫履歴!$E$10:$E$1009,C251,入出庫履歴!$D$10:$D$1009,"棚卸調整"))</f>
        <v/>
      </c>
      <c r="P251" s="13" t="str">
        <f t="shared" si="12"/>
        <v/>
      </c>
      <c r="Q251" s="15" t="str">
        <f t="shared" si="13"/>
        <v/>
      </c>
      <c r="R251" s="16"/>
      <c r="S251" s="16"/>
      <c r="T251" s="17" t="str">
        <f t="shared" si="14"/>
        <v/>
      </c>
      <c r="U251" s="13" t="str">
        <f t="shared" si="15"/>
        <v/>
      </c>
      <c r="V251" s="18" t="str">
        <f>IF(C251="","",IF(_xlfn.MINIFS(入出庫履歴!$K$10:$K$1009,入出庫履歴!$E$10:$E$1009,C251,入出庫履歴!$N$10:$N$1009,"&gt;0")=0,"",_xlfn.MINIFS(入出庫履歴!$K$10:$K$1009,入出庫履歴!$E$10:$E$1009,C251,入出庫履歴!$N$10:$N$1009,"&gt;0")))</f>
        <v/>
      </c>
      <c r="W251" s="17" t="str">
        <f ca="1">IF(OR(V251="",P251&lt;=0),"",IF(V251&lt;TODAY(),"期限切れ",IF(V251-TODAY()&lt;=設定!$C$4,"期限間近","")))</f>
        <v/>
      </c>
      <c r="X251" s="19"/>
      <c r="Y251" s="19"/>
      <c r="Z251" t="str">
        <f>IF(OR(T251="要発注",T251="欠品",T251="在庫異常"),COUNTIF($T$10:T251,"要発注")+COUNTIF($T$10:T251,"欠品")+COUNTIF($T$10:T251,"在庫異常"),"")</f>
        <v/>
      </c>
    </row>
    <row r="252" spans="2:26">
      <c r="B252" s="8" t="str">
        <f>IF(C252="","",COUNTA($C$10:C252))</f>
        <v/>
      </c>
      <c r="C252" s="9"/>
      <c r="D252" s="19"/>
      <c r="E252" s="19"/>
      <c r="F252" s="10"/>
      <c r="G252" s="11"/>
      <c r="H252" s="9"/>
      <c r="I252" s="11"/>
      <c r="J252" s="19"/>
      <c r="K252" s="12"/>
      <c r="L252" s="13" t="str">
        <f>IF(C252="","",SUMIFS(入出庫履歴!$G$10:$G$1009,入出庫履歴!$E$10:$E$1009,C252,入出庫履歴!$D$10:$D$1009,"入庫"))</f>
        <v/>
      </c>
      <c r="M252" s="13" t="str">
        <f>IF(C252="","",SUMIFS(入出庫履歴!$G$10:$G$1009,入出庫履歴!$E$10:$E$1009,C252,入出庫履歴!$D$10:$D$1009,"出庫"))</f>
        <v/>
      </c>
      <c r="N252" s="13" t="str">
        <f>IF(C252="","",SUMIFS(入出庫履歴!$G$10:$G$1009,入出庫履歴!$E$10:$E$1009,C252,入出庫履歴!$D$10:$D$1009,"廃棄"))</f>
        <v/>
      </c>
      <c r="O252" s="14" t="str">
        <f>IF(C252="","",SUMIFS(入出庫履歴!$G$10:$G$1009,入出庫履歴!$E$10:$E$1009,C252,入出庫履歴!$D$10:$D$1009,"棚卸調整"))</f>
        <v/>
      </c>
      <c r="P252" s="13" t="str">
        <f t="shared" si="12"/>
        <v/>
      </c>
      <c r="Q252" s="15" t="str">
        <f t="shared" si="13"/>
        <v/>
      </c>
      <c r="R252" s="16"/>
      <c r="S252" s="16"/>
      <c r="T252" s="17" t="str">
        <f t="shared" si="14"/>
        <v/>
      </c>
      <c r="U252" s="13" t="str">
        <f t="shared" si="15"/>
        <v/>
      </c>
      <c r="V252" s="18" t="str">
        <f>IF(C252="","",IF(_xlfn.MINIFS(入出庫履歴!$K$10:$K$1009,入出庫履歴!$E$10:$E$1009,C252,入出庫履歴!$N$10:$N$1009,"&gt;0")=0,"",_xlfn.MINIFS(入出庫履歴!$K$10:$K$1009,入出庫履歴!$E$10:$E$1009,C252,入出庫履歴!$N$10:$N$1009,"&gt;0")))</f>
        <v/>
      </c>
      <c r="W252" s="17" t="str">
        <f ca="1">IF(OR(V252="",P252&lt;=0),"",IF(V252&lt;TODAY(),"期限切れ",IF(V252-TODAY()&lt;=設定!$C$4,"期限間近","")))</f>
        <v/>
      </c>
      <c r="X252" s="19"/>
      <c r="Y252" s="19"/>
      <c r="Z252" t="str">
        <f>IF(OR(T252="要発注",T252="欠品",T252="在庫異常"),COUNTIF($T$10:T252,"要発注")+COUNTIF($T$10:T252,"欠品")+COUNTIF($T$10:T252,"在庫異常"),"")</f>
        <v/>
      </c>
    </row>
    <row r="253" spans="2:26">
      <c r="B253" s="8" t="str">
        <f>IF(C253="","",COUNTA($C$10:C253))</f>
        <v/>
      </c>
      <c r="C253" s="9"/>
      <c r="D253" s="19"/>
      <c r="E253" s="19"/>
      <c r="F253" s="10"/>
      <c r="G253" s="11"/>
      <c r="H253" s="9"/>
      <c r="I253" s="11"/>
      <c r="J253" s="19"/>
      <c r="K253" s="12"/>
      <c r="L253" s="13" t="str">
        <f>IF(C253="","",SUMIFS(入出庫履歴!$G$10:$G$1009,入出庫履歴!$E$10:$E$1009,C253,入出庫履歴!$D$10:$D$1009,"入庫"))</f>
        <v/>
      </c>
      <c r="M253" s="13" t="str">
        <f>IF(C253="","",SUMIFS(入出庫履歴!$G$10:$G$1009,入出庫履歴!$E$10:$E$1009,C253,入出庫履歴!$D$10:$D$1009,"出庫"))</f>
        <v/>
      </c>
      <c r="N253" s="13" t="str">
        <f>IF(C253="","",SUMIFS(入出庫履歴!$G$10:$G$1009,入出庫履歴!$E$10:$E$1009,C253,入出庫履歴!$D$10:$D$1009,"廃棄"))</f>
        <v/>
      </c>
      <c r="O253" s="14" t="str">
        <f>IF(C253="","",SUMIFS(入出庫履歴!$G$10:$G$1009,入出庫履歴!$E$10:$E$1009,C253,入出庫履歴!$D$10:$D$1009,"棚卸調整"))</f>
        <v/>
      </c>
      <c r="P253" s="13" t="str">
        <f t="shared" si="12"/>
        <v/>
      </c>
      <c r="Q253" s="15" t="str">
        <f t="shared" si="13"/>
        <v/>
      </c>
      <c r="R253" s="16"/>
      <c r="S253" s="16"/>
      <c r="T253" s="17" t="str">
        <f t="shared" si="14"/>
        <v/>
      </c>
      <c r="U253" s="13" t="str">
        <f t="shared" si="15"/>
        <v/>
      </c>
      <c r="V253" s="18" t="str">
        <f>IF(C253="","",IF(_xlfn.MINIFS(入出庫履歴!$K$10:$K$1009,入出庫履歴!$E$10:$E$1009,C253,入出庫履歴!$N$10:$N$1009,"&gt;0")=0,"",_xlfn.MINIFS(入出庫履歴!$K$10:$K$1009,入出庫履歴!$E$10:$E$1009,C253,入出庫履歴!$N$10:$N$1009,"&gt;0")))</f>
        <v/>
      </c>
      <c r="W253" s="17" t="str">
        <f ca="1">IF(OR(V253="",P253&lt;=0),"",IF(V253&lt;TODAY(),"期限切れ",IF(V253-TODAY()&lt;=設定!$C$4,"期限間近","")))</f>
        <v/>
      </c>
      <c r="X253" s="19"/>
      <c r="Y253" s="19"/>
      <c r="Z253" t="str">
        <f>IF(OR(T253="要発注",T253="欠品",T253="在庫異常"),COUNTIF($T$10:T253,"要発注")+COUNTIF($T$10:T253,"欠品")+COUNTIF($T$10:T253,"在庫異常"),"")</f>
        <v/>
      </c>
    </row>
    <row r="254" spans="2:26">
      <c r="B254" s="8" t="str">
        <f>IF(C254="","",COUNTA($C$10:C254))</f>
        <v/>
      </c>
      <c r="C254" s="9"/>
      <c r="D254" s="19"/>
      <c r="E254" s="19"/>
      <c r="F254" s="10"/>
      <c r="G254" s="11"/>
      <c r="H254" s="9"/>
      <c r="I254" s="11"/>
      <c r="J254" s="19"/>
      <c r="K254" s="12"/>
      <c r="L254" s="13" t="str">
        <f>IF(C254="","",SUMIFS(入出庫履歴!$G$10:$G$1009,入出庫履歴!$E$10:$E$1009,C254,入出庫履歴!$D$10:$D$1009,"入庫"))</f>
        <v/>
      </c>
      <c r="M254" s="13" t="str">
        <f>IF(C254="","",SUMIFS(入出庫履歴!$G$10:$G$1009,入出庫履歴!$E$10:$E$1009,C254,入出庫履歴!$D$10:$D$1009,"出庫"))</f>
        <v/>
      </c>
      <c r="N254" s="13" t="str">
        <f>IF(C254="","",SUMIFS(入出庫履歴!$G$10:$G$1009,入出庫履歴!$E$10:$E$1009,C254,入出庫履歴!$D$10:$D$1009,"廃棄"))</f>
        <v/>
      </c>
      <c r="O254" s="14" t="str">
        <f>IF(C254="","",SUMIFS(入出庫履歴!$G$10:$G$1009,入出庫履歴!$E$10:$E$1009,C254,入出庫履歴!$D$10:$D$1009,"棚卸調整"))</f>
        <v/>
      </c>
      <c r="P254" s="13" t="str">
        <f t="shared" si="12"/>
        <v/>
      </c>
      <c r="Q254" s="15" t="str">
        <f t="shared" si="13"/>
        <v/>
      </c>
      <c r="R254" s="16"/>
      <c r="S254" s="16"/>
      <c r="T254" s="17" t="str">
        <f t="shared" si="14"/>
        <v/>
      </c>
      <c r="U254" s="13" t="str">
        <f t="shared" si="15"/>
        <v/>
      </c>
      <c r="V254" s="18" t="str">
        <f>IF(C254="","",IF(_xlfn.MINIFS(入出庫履歴!$K$10:$K$1009,入出庫履歴!$E$10:$E$1009,C254,入出庫履歴!$N$10:$N$1009,"&gt;0")=0,"",_xlfn.MINIFS(入出庫履歴!$K$10:$K$1009,入出庫履歴!$E$10:$E$1009,C254,入出庫履歴!$N$10:$N$1009,"&gt;0")))</f>
        <v/>
      </c>
      <c r="W254" s="17" t="str">
        <f ca="1">IF(OR(V254="",P254&lt;=0),"",IF(V254&lt;TODAY(),"期限切れ",IF(V254-TODAY()&lt;=設定!$C$4,"期限間近","")))</f>
        <v/>
      </c>
      <c r="X254" s="19"/>
      <c r="Y254" s="19"/>
      <c r="Z254" t="str">
        <f>IF(OR(T254="要発注",T254="欠品",T254="在庫異常"),COUNTIF($T$10:T254,"要発注")+COUNTIF($T$10:T254,"欠品")+COUNTIF($T$10:T254,"在庫異常"),"")</f>
        <v/>
      </c>
    </row>
    <row r="255" spans="2:26">
      <c r="B255" s="8" t="str">
        <f>IF(C255="","",COUNTA($C$10:C255))</f>
        <v/>
      </c>
      <c r="C255" s="9"/>
      <c r="D255" s="19"/>
      <c r="E255" s="19"/>
      <c r="F255" s="10"/>
      <c r="G255" s="11"/>
      <c r="H255" s="9"/>
      <c r="I255" s="11"/>
      <c r="J255" s="19"/>
      <c r="K255" s="12"/>
      <c r="L255" s="13" t="str">
        <f>IF(C255="","",SUMIFS(入出庫履歴!$G$10:$G$1009,入出庫履歴!$E$10:$E$1009,C255,入出庫履歴!$D$10:$D$1009,"入庫"))</f>
        <v/>
      </c>
      <c r="M255" s="13" t="str">
        <f>IF(C255="","",SUMIFS(入出庫履歴!$G$10:$G$1009,入出庫履歴!$E$10:$E$1009,C255,入出庫履歴!$D$10:$D$1009,"出庫"))</f>
        <v/>
      </c>
      <c r="N255" s="13" t="str">
        <f>IF(C255="","",SUMIFS(入出庫履歴!$G$10:$G$1009,入出庫履歴!$E$10:$E$1009,C255,入出庫履歴!$D$10:$D$1009,"廃棄"))</f>
        <v/>
      </c>
      <c r="O255" s="14" t="str">
        <f>IF(C255="","",SUMIFS(入出庫履歴!$G$10:$G$1009,入出庫履歴!$E$10:$E$1009,C255,入出庫履歴!$D$10:$D$1009,"棚卸調整"))</f>
        <v/>
      </c>
      <c r="P255" s="13" t="str">
        <f t="shared" si="12"/>
        <v/>
      </c>
      <c r="Q255" s="15" t="str">
        <f t="shared" si="13"/>
        <v/>
      </c>
      <c r="R255" s="16"/>
      <c r="S255" s="16"/>
      <c r="T255" s="17" t="str">
        <f t="shared" si="14"/>
        <v/>
      </c>
      <c r="U255" s="13" t="str">
        <f t="shared" si="15"/>
        <v/>
      </c>
      <c r="V255" s="18" t="str">
        <f>IF(C255="","",IF(_xlfn.MINIFS(入出庫履歴!$K$10:$K$1009,入出庫履歴!$E$10:$E$1009,C255,入出庫履歴!$N$10:$N$1009,"&gt;0")=0,"",_xlfn.MINIFS(入出庫履歴!$K$10:$K$1009,入出庫履歴!$E$10:$E$1009,C255,入出庫履歴!$N$10:$N$1009,"&gt;0")))</f>
        <v/>
      </c>
      <c r="W255" s="17" t="str">
        <f ca="1">IF(OR(V255="",P255&lt;=0),"",IF(V255&lt;TODAY(),"期限切れ",IF(V255-TODAY()&lt;=設定!$C$4,"期限間近","")))</f>
        <v/>
      </c>
      <c r="X255" s="19"/>
      <c r="Y255" s="19"/>
      <c r="Z255" t="str">
        <f>IF(OR(T255="要発注",T255="欠品",T255="在庫異常"),COUNTIF($T$10:T255,"要発注")+COUNTIF($T$10:T255,"欠品")+COUNTIF($T$10:T255,"在庫異常"),"")</f>
        <v/>
      </c>
    </row>
    <row r="256" spans="2:26">
      <c r="B256" s="8" t="str">
        <f>IF(C256="","",COUNTA($C$10:C256))</f>
        <v/>
      </c>
      <c r="C256" s="9"/>
      <c r="D256" s="19"/>
      <c r="E256" s="19"/>
      <c r="F256" s="10"/>
      <c r="G256" s="11"/>
      <c r="H256" s="9"/>
      <c r="I256" s="11"/>
      <c r="J256" s="19"/>
      <c r="K256" s="12"/>
      <c r="L256" s="13" t="str">
        <f>IF(C256="","",SUMIFS(入出庫履歴!$G$10:$G$1009,入出庫履歴!$E$10:$E$1009,C256,入出庫履歴!$D$10:$D$1009,"入庫"))</f>
        <v/>
      </c>
      <c r="M256" s="13" t="str">
        <f>IF(C256="","",SUMIFS(入出庫履歴!$G$10:$G$1009,入出庫履歴!$E$10:$E$1009,C256,入出庫履歴!$D$10:$D$1009,"出庫"))</f>
        <v/>
      </c>
      <c r="N256" s="13" t="str">
        <f>IF(C256="","",SUMIFS(入出庫履歴!$G$10:$G$1009,入出庫履歴!$E$10:$E$1009,C256,入出庫履歴!$D$10:$D$1009,"廃棄"))</f>
        <v/>
      </c>
      <c r="O256" s="14" t="str">
        <f>IF(C256="","",SUMIFS(入出庫履歴!$G$10:$G$1009,入出庫履歴!$E$10:$E$1009,C256,入出庫履歴!$D$10:$D$1009,"棚卸調整"))</f>
        <v/>
      </c>
      <c r="P256" s="13" t="str">
        <f t="shared" si="12"/>
        <v/>
      </c>
      <c r="Q256" s="15" t="str">
        <f t="shared" si="13"/>
        <v/>
      </c>
      <c r="R256" s="16"/>
      <c r="S256" s="16"/>
      <c r="T256" s="17" t="str">
        <f t="shared" si="14"/>
        <v/>
      </c>
      <c r="U256" s="13" t="str">
        <f t="shared" si="15"/>
        <v/>
      </c>
      <c r="V256" s="18" t="str">
        <f>IF(C256="","",IF(_xlfn.MINIFS(入出庫履歴!$K$10:$K$1009,入出庫履歴!$E$10:$E$1009,C256,入出庫履歴!$N$10:$N$1009,"&gt;0")=0,"",_xlfn.MINIFS(入出庫履歴!$K$10:$K$1009,入出庫履歴!$E$10:$E$1009,C256,入出庫履歴!$N$10:$N$1009,"&gt;0")))</f>
        <v/>
      </c>
      <c r="W256" s="17" t="str">
        <f ca="1">IF(OR(V256="",P256&lt;=0),"",IF(V256&lt;TODAY(),"期限切れ",IF(V256-TODAY()&lt;=設定!$C$4,"期限間近","")))</f>
        <v/>
      </c>
      <c r="X256" s="19"/>
      <c r="Y256" s="19"/>
      <c r="Z256" t="str">
        <f>IF(OR(T256="要発注",T256="欠品",T256="在庫異常"),COUNTIF($T$10:T256,"要発注")+COUNTIF($T$10:T256,"欠品")+COUNTIF($T$10:T256,"在庫異常"),"")</f>
        <v/>
      </c>
    </row>
    <row r="257" spans="2:26">
      <c r="B257" s="8" t="str">
        <f>IF(C257="","",COUNTA($C$10:C257))</f>
        <v/>
      </c>
      <c r="C257" s="9"/>
      <c r="D257" s="19"/>
      <c r="E257" s="19"/>
      <c r="F257" s="10"/>
      <c r="G257" s="11"/>
      <c r="H257" s="9"/>
      <c r="I257" s="11"/>
      <c r="J257" s="19"/>
      <c r="K257" s="12"/>
      <c r="L257" s="13" t="str">
        <f>IF(C257="","",SUMIFS(入出庫履歴!$G$10:$G$1009,入出庫履歴!$E$10:$E$1009,C257,入出庫履歴!$D$10:$D$1009,"入庫"))</f>
        <v/>
      </c>
      <c r="M257" s="13" t="str">
        <f>IF(C257="","",SUMIFS(入出庫履歴!$G$10:$G$1009,入出庫履歴!$E$10:$E$1009,C257,入出庫履歴!$D$10:$D$1009,"出庫"))</f>
        <v/>
      </c>
      <c r="N257" s="13" t="str">
        <f>IF(C257="","",SUMIFS(入出庫履歴!$G$10:$G$1009,入出庫履歴!$E$10:$E$1009,C257,入出庫履歴!$D$10:$D$1009,"廃棄"))</f>
        <v/>
      </c>
      <c r="O257" s="14" t="str">
        <f>IF(C257="","",SUMIFS(入出庫履歴!$G$10:$G$1009,入出庫履歴!$E$10:$E$1009,C257,入出庫履歴!$D$10:$D$1009,"棚卸調整"))</f>
        <v/>
      </c>
      <c r="P257" s="13" t="str">
        <f t="shared" si="12"/>
        <v/>
      </c>
      <c r="Q257" s="15" t="str">
        <f t="shared" si="13"/>
        <v/>
      </c>
      <c r="R257" s="16"/>
      <c r="S257" s="16"/>
      <c r="T257" s="17" t="str">
        <f t="shared" si="14"/>
        <v/>
      </c>
      <c r="U257" s="13" t="str">
        <f t="shared" si="15"/>
        <v/>
      </c>
      <c r="V257" s="18" t="str">
        <f>IF(C257="","",IF(_xlfn.MINIFS(入出庫履歴!$K$10:$K$1009,入出庫履歴!$E$10:$E$1009,C257,入出庫履歴!$N$10:$N$1009,"&gt;0")=0,"",_xlfn.MINIFS(入出庫履歴!$K$10:$K$1009,入出庫履歴!$E$10:$E$1009,C257,入出庫履歴!$N$10:$N$1009,"&gt;0")))</f>
        <v/>
      </c>
      <c r="W257" s="17" t="str">
        <f ca="1">IF(OR(V257="",P257&lt;=0),"",IF(V257&lt;TODAY(),"期限切れ",IF(V257-TODAY()&lt;=設定!$C$4,"期限間近","")))</f>
        <v/>
      </c>
      <c r="X257" s="19"/>
      <c r="Y257" s="19"/>
      <c r="Z257" t="str">
        <f>IF(OR(T257="要発注",T257="欠品",T257="在庫異常"),COUNTIF($T$10:T257,"要発注")+COUNTIF($T$10:T257,"欠品")+COUNTIF($T$10:T257,"在庫異常"),"")</f>
        <v/>
      </c>
    </row>
    <row r="258" spans="2:26">
      <c r="B258" s="8" t="str">
        <f>IF(C258="","",COUNTA($C$10:C258))</f>
        <v/>
      </c>
      <c r="C258" s="9"/>
      <c r="D258" s="19"/>
      <c r="E258" s="19"/>
      <c r="F258" s="10"/>
      <c r="G258" s="11"/>
      <c r="H258" s="9"/>
      <c r="I258" s="11"/>
      <c r="J258" s="19"/>
      <c r="K258" s="12"/>
      <c r="L258" s="13" t="str">
        <f>IF(C258="","",SUMIFS(入出庫履歴!$G$10:$G$1009,入出庫履歴!$E$10:$E$1009,C258,入出庫履歴!$D$10:$D$1009,"入庫"))</f>
        <v/>
      </c>
      <c r="M258" s="13" t="str">
        <f>IF(C258="","",SUMIFS(入出庫履歴!$G$10:$G$1009,入出庫履歴!$E$10:$E$1009,C258,入出庫履歴!$D$10:$D$1009,"出庫"))</f>
        <v/>
      </c>
      <c r="N258" s="13" t="str">
        <f>IF(C258="","",SUMIFS(入出庫履歴!$G$10:$G$1009,入出庫履歴!$E$10:$E$1009,C258,入出庫履歴!$D$10:$D$1009,"廃棄"))</f>
        <v/>
      </c>
      <c r="O258" s="14" t="str">
        <f>IF(C258="","",SUMIFS(入出庫履歴!$G$10:$G$1009,入出庫履歴!$E$10:$E$1009,C258,入出庫履歴!$D$10:$D$1009,"棚卸調整"))</f>
        <v/>
      </c>
      <c r="P258" s="13" t="str">
        <f t="shared" si="12"/>
        <v/>
      </c>
      <c r="Q258" s="15" t="str">
        <f t="shared" si="13"/>
        <v/>
      </c>
      <c r="R258" s="16"/>
      <c r="S258" s="16"/>
      <c r="T258" s="17" t="str">
        <f t="shared" si="14"/>
        <v/>
      </c>
      <c r="U258" s="13" t="str">
        <f t="shared" si="15"/>
        <v/>
      </c>
      <c r="V258" s="18" t="str">
        <f>IF(C258="","",IF(_xlfn.MINIFS(入出庫履歴!$K$10:$K$1009,入出庫履歴!$E$10:$E$1009,C258,入出庫履歴!$N$10:$N$1009,"&gt;0")=0,"",_xlfn.MINIFS(入出庫履歴!$K$10:$K$1009,入出庫履歴!$E$10:$E$1009,C258,入出庫履歴!$N$10:$N$1009,"&gt;0")))</f>
        <v/>
      </c>
      <c r="W258" s="17" t="str">
        <f ca="1">IF(OR(V258="",P258&lt;=0),"",IF(V258&lt;TODAY(),"期限切れ",IF(V258-TODAY()&lt;=設定!$C$4,"期限間近","")))</f>
        <v/>
      </c>
      <c r="X258" s="19"/>
      <c r="Y258" s="19"/>
      <c r="Z258" t="str">
        <f>IF(OR(T258="要発注",T258="欠品",T258="在庫異常"),COUNTIF($T$10:T258,"要発注")+COUNTIF($T$10:T258,"欠品")+COUNTIF($T$10:T258,"在庫異常"),"")</f>
        <v/>
      </c>
    </row>
    <row r="259" spans="2:26">
      <c r="B259" s="8" t="str">
        <f>IF(C259="","",COUNTA($C$10:C259))</f>
        <v/>
      </c>
      <c r="C259" s="9"/>
      <c r="D259" s="19"/>
      <c r="E259" s="19"/>
      <c r="F259" s="10"/>
      <c r="G259" s="11"/>
      <c r="H259" s="9"/>
      <c r="I259" s="11"/>
      <c r="J259" s="19"/>
      <c r="K259" s="12"/>
      <c r="L259" s="13" t="str">
        <f>IF(C259="","",SUMIFS(入出庫履歴!$G$10:$G$1009,入出庫履歴!$E$10:$E$1009,C259,入出庫履歴!$D$10:$D$1009,"入庫"))</f>
        <v/>
      </c>
      <c r="M259" s="13" t="str">
        <f>IF(C259="","",SUMIFS(入出庫履歴!$G$10:$G$1009,入出庫履歴!$E$10:$E$1009,C259,入出庫履歴!$D$10:$D$1009,"出庫"))</f>
        <v/>
      </c>
      <c r="N259" s="13" t="str">
        <f>IF(C259="","",SUMIFS(入出庫履歴!$G$10:$G$1009,入出庫履歴!$E$10:$E$1009,C259,入出庫履歴!$D$10:$D$1009,"廃棄"))</f>
        <v/>
      </c>
      <c r="O259" s="14" t="str">
        <f>IF(C259="","",SUMIFS(入出庫履歴!$G$10:$G$1009,入出庫履歴!$E$10:$E$1009,C259,入出庫履歴!$D$10:$D$1009,"棚卸調整"))</f>
        <v/>
      </c>
      <c r="P259" s="13" t="str">
        <f t="shared" si="12"/>
        <v/>
      </c>
      <c r="Q259" s="15" t="str">
        <f t="shared" si="13"/>
        <v/>
      </c>
      <c r="R259" s="16"/>
      <c r="S259" s="16"/>
      <c r="T259" s="17" t="str">
        <f t="shared" si="14"/>
        <v/>
      </c>
      <c r="U259" s="13" t="str">
        <f t="shared" si="15"/>
        <v/>
      </c>
      <c r="V259" s="18" t="str">
        <f>IF(C259="","",IF(_xlfn.MINIFS(入出庫履歴!$K$10:$K$1009,入出庫履歴!$E$10:$E$1009,C259,入出庫履歴!$N$10:$N$1009,"&gt;0")=0,"",_xlfn.MINIFS(入出庫履歴!$K$10:$K$1009,入出庫履歴!$E$10:$E$1009,C259,入出庫履歴!$N$10:$N$1009,"&gt;0")))</f>
        <v/>
      </c>
      <c r="W259" s="17" t="str">
        <f ca="1">IF(OR(V259="",P259&lt;=0),"",IF(V259&lt;TODAY(),"期限切れ",IF(V259-TODAY()&lt;=設定!$C$4,"期限間近","")))</f>
        <v/>
      </c>
      <c r="X259" s="19"/>
      <c r="Y259" s="19"/>
      <c r="Z259" t="str">
        <f>IF(OR(T259="要発注",T259="欠品",T259="在庫異常"),COUNTIF($T$10:T259,"要発注")+COUNTIF($T$10:T259,"欠品")+COUNTIF($T$10:T259,"在庫異常"),"")</f>
        <v/>
      </c>
    </row>
    <row r="260" spans="2:26">
      <c r="B260" s="8" t="str">
        <f>IF(C260="","",COUNTA($C$10:C260))</f>
        <v/>
      </c>
      <c r="C260" s="9"/>
      <c r="D260" s="19"/>
      <c r="E260" s="19"/>
      <c r="F260" s="10"/>
      <c r="G260" s="11"/>
      <c r="H260" s="9"/>
      <c r="I260" s="11"/>
      <c r="J260" s="19"/>
      <c r="K260" s="12"/>
      <c r="L260" s="13" t="str">
        <f>IF(C260="","",SUMIFS(入出庫履歴!$G$10:$G$1009,入出庫履歴!$E$10:$E$1009,C260,入出庫履歴!$D$10:$D$1009,"入庫"))</f>
        <v/>
      </c>
      <c r="M260" s="13" t="str">
        <f>IF(C260="","",SUMIFS(入出庫履歴!$G$10:$G$1009,入出庫履歴!$E$10:$E$1009,C260,入出庫履歴!$D$10:$D$1009,"出庫"))</f>
        <v/>
      </c>
      <c r="N260" s="13" t="str">
        <f>IF(C260="","",SUMIFS(入出庫履歴!$G$10:$G$1009,入出庫履歴!$E$10:$E$1009,C260,入出庫履歴!$D$10:$D$1009,"廃棄"))</f>
        <v/>
      </c>
      <c r="O260" s="14" t="str">
        <f>IF(C260="","",SUMIFS(入出庫履歴!$G$10:$G$1009,入出庫履歴!$E$10:$E$1009,C260,入出庫履歴!$D$10:$D$1009,"棚卸調整"))</f>
        <v/>
      </c>
      <c r="P260" s="13" t="str">
        <f t="shared" si="12"/>
        <v/>
      </c>
      <c r="Q260" s="15" t="str">
        <f t="shared" si="13"/>
        <v/>
      </c>
      <c r="R260" s="16"/>
      <c r="S260" s="16"/>
      <c r="T260" s="17" t="str">
        <f t="shared" si="14"/>
        <v/>
      </c>
      <c r="U260" s="13" t="str">
        <f t="shared" si="15"/>
        <v/>
      </c>
      <c r="V260" s="18" t="str">
        <f>IF(C260="","",IF(_xlfn.MINIFS(入出庫履歴!$K$10:$K$1009,入出庫履歴!$E$10:$E$1009,C260,入出庫履歴!$N$10:$N$1009,"&gt;0")=0,"",_xlfn.MINIFS(入出庫履歴!$K$10:$K$1009,入出庫履歴!$E$10:$E$1009,C260,入出庫履歴!$N$10:$N$1009,"&gt;0")))</f>
        <v/>
      </c>
      <c r="W260" s="17" t="str">
        <f ca="1">IF(OR(V260="",P260&lt;=0),"",IF(V260&lt;TODAY(),"期限切れ",IF(V260-TODAY()&lt;=設定!$C$4,"期限間近","")))</f>
        <v/>
      </c>
      <c r="X260" s="19"/>
      <c r="Y260" s="19"/>
      <c r="Z260" t="str">
        <f>IF(OR(T260="要発注",T260="欠品",T260="在庫異常"),COUNTIF($T$10:T260,"要発注")+COUNTIF($T$10:T260,"欠品")+COUNTIF($T$10:T260,"在庫異常"),"")</f>
        <v/>
      </c>
    </row>
    <row r="261" spans="2:26">
      <c r="B261" s="8" t="str">
        <f>IF(C261="","",COUNTA($C$10:C261))</f>
        <v/>
      </c>
      <c r="C261" s="9"/>
      <c r="D261" s="19"/>
      <c r="E261" s="19"/>
      <c r="F261" s="10"/>
      <c r="G261" s="11"/>
      <c r="H261" s="9"/>
      <c r="I261" s="11"/>
      <c r="J261" s="19"/>
      <c r="K261" s="12"/>
      <c r="L261" s="13" t="str">
        <f>IF(C261="","",SUMIFS(入出庫履歴!$G$10:$G$1009,入出庫履歴!$E$10:$E$1009,C261,入出庫履歴!$D$10:$D$1009,"入庫"))</f>
        <v/>
      </c>
      <c r="M261" s="13" t="str">
        <f>IF(C261="","",SUMIFS(入出庫履歴!$G$10:$G$1009,入出庫履歴!$E$10:$E$1009,C261,入出庫履歴!$D$10:$D$1009,"出庫"))</f>
        <v/>
      </c>
      <c r="N261" s="13" t="str">
        <f>IF(C261="","",SUMIFS(入出庫履歴!$G$10:$G$1009,入出庫履歴!$E$10:$E$1009,C261,入出庫履歴!$D$10:$D$1009,"廃棄"))</f>
        <v/>
      </c>
      <c r="O261" s="14" t="str">
        <f>IF(C261="","",SUMIFS(入出庫履歴!$G$10:$G$1009,入出庫履歴!$E$10:$E$1009,C261,入出庫履歴!$D$10:$D$1009,"棚卸調整"))</f>
        <v/>
      </c>
      <c r="P261" s="13" t="str">
        <f t="shared" si="12"/>
        <v/>
      </c>
      <c r="Q261" s="15" t="str">
        <f t="shared" si="13"/>
        <v/>
      </c>
      <c r="R261" s="16"/>
      <c r="S261" s="16"/>
      <c r="T261" s="17" t="str">
        <f t="shared" si="14"/>
        <v/>
      </c>
      <c r="U261" s="13" t="str">
        <f t="shared" si="15"/>
        <v/>
      </c>
      <c r="V261" s="18" t="str">
        <f>IF(C261="","",IF(_xlfn.MINIFS(入出庫履歴!$K$10:$K$1009,入出庫履歴!$E$10:$E$1009,C261,入出庫履歴!$N$10:$N$1009,"&gt;0")=0,"",_xlfn.MINIFS(入出庫履歴!$K$10:$K$1009,入出庫履歴!$E$10:$E$1009,C261,入出庫履歴!$N$10:$N$1009,"&gt;0")))</f>
        <v/>
      </c>
      <c r="W261" s="17" t="str">
        <f ca="1">IF(OR(V261="",P261&lt;=0),"",IF(V261&lt;TODAY(),"期限切れ",IF(V261-TODAY()&lt;=設定!$C$4,"期限間近","")))</f>
        <v/>
      </c>
      <c r="X261" s="19"/>
      <c r="Y261" s="19"/>
      <c r="Z261" t="str">
        <f>IF(OR(T261="要発注",T261="欠品",T261="在庫異常"),COUNTIF($T$10:T261,"要発注")+COUNTIF($T$10:T261,"欠品")+COUNTIF($T$10:T261,"在庫異常"),"")</f>
        <v/>
      </c>
    </row>
    <row r="262" spans="2:26">
      <c r="B262" s="8" t="str">
        <f>IF(C262="","",COUNTA($C$10:C262))</f>
        <v/>
      </c>
      <c r="C262" s="9"/>
      <c r="D262" s="19"/>
      <c r="E262" s="19"/>
      <c r="F262" s="10"/>
      <c r="G262" s="11"/>
      <c r="H262" s="9"/>
      <c r="I262" s="11"/>
      <c r="J262" s="19"/>
      <c r="K262" s="12"/>
      <c r="L262" s="13" t="str">
        <f>IF(C262="","",SUMIFS(入出庫履歴!$G$10:$G$1009,入出庫履歴!$E$10:$E$1009,C262,入出庫履歴!$D$10:$D$1009,"入庫"))</f>
        <v/>
      </c>
      <c r="M262" s="13" t="str">
        <f>IF(C262="","",SUMIFS(入出庫履歴!$G$10:$G$1009,入出庫履歴!$E$10:$E$1009,C262,入出庫履歴!$D$10:$D$1009,"出庫"))</f>
        <v/>
      </c>
      <c r="N262" s="13" t="str">
        <f>IF(C262="","",SUMIFS(入出庫履歴!$G$10:$G$1009,入出庫履歴!$E$10:$E$1009,C262,入出庫履歴!$D$10:$D$1009,"廃棄"))</f>
        <v/>
      </c>
      <c r="O262" s="14" t="str">
        <f>IF(C262="","",SUMIFS(入出庫履歴!$G$10:$G$1009,入出庫履歴!$E$10:$E$1009,C262,入出庫履歴!$D$10:$D$1009,"棚卸調整"))</f>
        <v/>
      </c>
      <c r="P262" s="13" t="str">
        <f t="shared" si="12"/>
        <v/>
      </c>
      <c r="Q262" s="15" t="str">
        <f t="shared" si="13"/>
        <v/>
      </c>
      <c r="R262" s="16"/>
      <c r="S262" s="16"/>
      <c r="T262" s="17" t="str">
        <f t="shared" si="14"/>
        <v/>
      </c>
      <c r="U262" s="13" t="str">
        <f t="shared" si="15"/>
        <v/>
      </c>
      <c r="V262" s="18" t="str">
        <f>IF(C262="","",IF(_xlfn.MINIFS(入出庫履歴!$K$10:$K$1009,入出庫履歴!$E$10:$E$1009,C262,入出庫履歴!$N$10:$N$1009,"&gt;0")=0,"",_xlfn.MINIFS(入出庫履歴!$K$10:$K$1009,入出庫履歴!$E$10:$E$1009,C262,入出庫履歴!$N$10:$N$1009,"&gt;0")))</f>
        <v/>
      </c>
      <c r="W262" s="17" t="str">
        <f ca="1">IF(OR(V262="",P262&lt;=0),"",IF(V262&lt;TODAY(),"期限切れ",IF(V262-TODAY()&lt;=設定!$C$4,"期限間近","")))</f>
        <v/>
      </c>
      <c r="X262" s="19"/>
      <c r="Y262" s="19"/>
      <c r="Z262" t="str">
        <f>IF(OR(T262="要発注",T262="欠品",T262="在庫異常"),COUNTIF($T$10:T262,"要発注")+COUNTIF($T$10:T262,"欠品")+COUNTIF($T$10:T262,"在庫異常"),"")</f>
        <v/>
      </c>
    </row>
    <row r="263" spans="2:26">
      <c r="B263" s="8" t="str">
        <f>IF(C263="","",COUNTA($C$10:C263))</f>
        <v/>
      </c>
      <c r="C263" s="9"/>
      <c r="D263" s="19"/>
      <c r="E263" s="19"/>
      <c r="F263" s="10"/>
      <c r="G263" s="11"/>
      <c r="H263" s="9"/>
      <c r="I263" s="11"/>
      <c r="J263" s="19"/>
      <c r="K263" s="12"/>
      <c r="L263" s="13" t="str">
        <f>IF(C263="","",SUMIFS(入出庫履歴!$G$10:$G$1009,入出庫履歴!$E$10:$E$1009,C263,入出庫履歴!$D$10:$D$1009,"入庫"))</f>
        <v/>
      </c>
      <c r="M263" s="13" t="str">
        <f>IF(C263="","",SUMIFS(入出庫履歴!$G$10:$G$1009,入出庫履歴!$E$10:$E$1009,C263,入出庫履歴!$D$10:$D$1009,"出庫"))</f>
        <v/>
      </c>
      <c r="N263" s="13" t="str">
        <f>IF(C263="","",SUMIFS(入出庫履歴!$G$10:$G$1009,入出庫履歴!$E$10:$E$1009,C263,入出庫履歴!$D$10:$D$1009,"廃棄"))</f>
        <v/>
      </c>
      <c r="O263" s="14" t="str">
        <f>IF(C263="","",SUMIFS(入出庫履歴!$G$10:$G$1009,入出庫履歴!$E$10:$E$1009,C263,入出庫履歴!$D$10:$D$1009,"棚卸調整"))</f>
        <v/>
      </c>
      <c r="P263" s="13" t="str">
        <f t="shared" si="12"/>
        <v/>
      </c>
      <c r="Q263" s="15" t="str">
        <f t="shared" si="13"/>
        <v/>
      </c>
      <c r="R263" s="16"/>
      <c r="S263" s="16"/>
      <c r="T263" s="17" t="str">
        <f t="shared" si="14"/>
        <v/>
      </c>
      <c r="U263" s="13" t="str">
        <f t="shared" si="15"/>
        <v/>
      </c>
      <c r="V263" s="18" t="str">
        <f>IF(C263="","",IF(_xlfn.MINIFS(入出庫履歴!$K$10:$K$1009,入出庫履歴!$E$10:$E$1009,C263,入出庫履歴!$N$10:$N$1009,"&gt;0")=0,"",_xlfn.MINIFS(入出庫履歴!$K$10:$K$1009,入出庫履歴!$E$10:$E$1009,C263,入出庫履歴!$N$10:$N$1009,"&gt;0")))</f>
        <v/>
      </c>
      <c r="W263" s="17" t="str">
        <f ca="1">IF(OR(V263="",P263&lt;=0),"",IF(V263&lt;TODAY(),"期限切れ",IF(V263-TODAY()&lt;=設定!$C$4,"期限間近","")))</f>
        <v/>
      </c>
      <c r="X263" s="19"/>
      <c r="Y263" s="19"/>
      <c r="Z263" t="str">
        <f>IF(OR(T263="要発注",T263="欠品",T263="在庫異常"),COUNTIF($T$10:T263,"要発注")+COUNTIF($T$10:T263,"欠品")+COUNTIF($T$10:T263,"在庫異常"),"")</f>
        <v/>
      </c>
    </row>
    <row r="264" spans="2:26">
      <c r="B264" s="8" t="str">
        <f>IF(C264="","",COUNTA($C$10:C264))</f>
        <v/>
      </c>
      <c r="C264" s="9"/>
      <c r="D264" s="19"/>
      <c r="E264" s="19"/>
      <c r="F264" s="10"/>
      <c r="G264" s="11"/>
      <c r="H264" s="9"/>
      <c r="I264" s="11"/>
      <c r="J264" s="19"/>
      <c r="K264" s="12"/>
      <c r="L264" s="13" t="str">
        <f>IF(C264="","",SUMIFS(入出庫履歴!$G$10:$G$1009,入出庫履歴!$E$10:$E$1009,C264,入出庫履歴!$D$10:$D$1009,"入庫"))</f>
        <v/>
      </c>
      <c r="M264" s="13" t="str">
        <f>IF(C264="","",SUMIFS(入出庫履歴!$G$10:$G$1009,入出庫履歴!$E$10:$E$1009,C264,入出庫履歴!$D$10:$D$1009,"出庫"))</f>
        <v/>
      </c>
      <c r="N264" s="13" t="str">
        <f>IF(C264="","",SUMIFS(入出庫履歴!$G$10:$G$1009,入出庫履歴!$E$10:$E$1009,C264,入出庫履歴!$D$10:$D$1009,"廃棄"))</f>
        <v/>
      </c>
      <c r="O264" s="14" t="str">
        <f>IF(C264="","",SUMIFS(入出庫履歴!$G$10:$G$1009,入出庫履歴!$E$10:$E$1009,C264,入出庫履歴!$D$10:$D$1009,"棚卸調整"))</f>
        <v/>
      </c>
      <c r="P264" s="13" t="str">
        <f t="shared" si="12"/>
        <v/>
      </c>
      <c r="Q264" s="15" t="str">
        <f t="shared" si="13"/>
        <v/>
      </c>
      <c r="R264" s="16"/>
      <c r="S264" s="16"/>
      <c r="T264" s="17" t="str">
        <f t="shared" si="14"/>
        <v/>
      </c>
      <c r="U264" s="13" t="str">
        <f t="shared" si="15"/>
        <v/>
      </c>
      <c r="V264" s="18" t="str">
        <f>IF(C264="","",IF(_xlfn.MINIFS(入出庫履歴!$K$10:$K$1009,入出庫履歴!$E$10:$E$1009,C264,入出庫履歴!$N$10:$N$1009,"&gt;0")=0,"",_xlfn.MINIFS(入出庫履歴!$K$10:$K$1009,入出庫履歴!$E$10:$E$1009,C264,入出庫履歴!$N$10:$N$1009,"&gt;0")))</f>
        <v/>
      </c>
      <c r="W264" s="17" t="str">
        <f ca="1">IF(OR(V264="",P264&lt;=0),"",IF(V264&lt;TODAY(),"期限切れ",IF(V264-TODAY()&lt;=設定!$C$4,"期限間近","")))</f>
        <v/>
      </c>
      <c r="X264" s="19"/>
      <c r="Y264" s="19"/>
      <c r="Z264" t="str">
        <f>IF(OR(T264="要発注",T264="欠品",T264="在庫異常"),COUNTIF($T$10:T264,"要発注")+COUNTIF($T$10:T264,"欠品")+COUNTIF($T$10:T264,"在庫異常"),"")</f>
        <v/>
      </c>
    </row>
    <row r="265" spans="2:26">
      <c r="B265" s="8" t="str">
        <f>IF(C265="","",COUNTA($C$10:C265))</f>
        <v/>
      </c>
      <c r="C265" s="9"/>
      <c r="D265" s="19"/>
      <c r="E265" s="19"/>
      <c r="F265" s="10"/>
      <c r="G265" s="11"/>
      <c r="H265" s="9"/>
      <c r="I265" s="11"/>
      <c r="J265" s="19"/>
      <c r="K265" s="12"/>
      <c r="L265" s="13" t="str">
        <f>IF(C265="","",SUMIFS(入出庫履歴!$G$10:$G$1009,入出庫履歴!$E$10:$E$1009,C265,入出庫履歴!$D$10:$D$1009,"入庫"))</f>
        <v/>
      </c>
      <c r="M265" s="13" t="str">
        <f>IF(C265="","",SUMIFS(入出庫履歴!$G$10:$G$1009,入出庫履歴!$E$10:$E$1009,C265,入出庫履歴!$D$10:$D$1009,"出庫"))</f>
        <v/>
      </c>
      <c r="N265" s="13" t="str">
        <f>IF(C265="","",SUMIFS(入出庫履歴!$G$10:$G$1009,入出庫履歴!$E$10:$E$1009,C265,入出庫履歴!$D$10:$D$1009,"廃棄"))</f>
        <v/>
      </c>
      <c r="O265" s="14" t="str">
        <f>IF(C265="","",SUMIFS(入出庫履歴!$G$10:$G$1009,入出庫履歴!$E$10:$E$1009,C265,入出庫履歴!$D$10:$D$1009,"棚卸調整"))</f>
        <v/>
      </c>
      <c r="P265" s="13" t="str">
        <f t="shared" si="12"/>
        <v/>
      </c>
      <c r="Q265" s="15" t="str">
        <f t="shared" si="13"/>
        <v/>
      </c>
      <c r="R265" s="16"/>
      <c r="S265" s="16"/>
      <c r="T265" s="17" t="str">
        <f t="shared" si="14"/>
        <v/>
      </c>
      <c r="U265" s="13" t="str">
        <f t="shared" si="15"/>
        <v/>
      </c>
      <c r="V265" s="18" t="str">
        <f>IF(C265="","",IF(_xlfn.MINIFS(入出庫履歴!$K$10:$K$1009,入出庫履歴!$E$10:$E$1009,C265,入出庫履歴!$N$10:$N$1009,"&gt;0")=0,"",_xlfn.MINIFS(入出庫履歴!$K$10:$K$1009,入出庫履歴!$E$10:$E$1009,C265,入出庫履歴!$N$10:$N$1009,"&gt;0")))</f>
        <v/>
      </c>
      <c r="W265" s="17" t="str">
        <f ca="1">IF(OR(V265="",P265&lt;=0),"",IF(V265&lt;TODAY(),"期限切れ",IF(V265-TODAY()&lt;=設定!$C$4,"期限間近","")))</f>
        <v/>
      </c>
      <c r="X265" s="19"/>
      <c r="Y265" s="19"/>
      <c r="Z265" t="str">
        <f>IF(OR(T265="要発注",T265="欠品",T265="在庫異常"),COUNTIF($T$10:T265,"要発注")+COUNTIF($T$10:T265,"欠品")+COUNTIF($T$10:T265,"在庫異常"),"")</f>
        <v/>
      </c>
    </row>
    <row r="266" spans="2:26">
      <c r="B266" s="8" t="str">
        <f>IF(C266="","",COUNTA($C$10:C266))</f>
        <v/>
      </c>
      <c r="C266" s="9"/>
      <c r="D266" s="19"/>
      <c r="E266" s="19"/>
      <c r="F266" s="10"/>
      <c r="G266" s="11"/>
      <c r="H266" s="9"/>
      <c r="I266" s="11"/>
      <c r="J266" s="19"/>
      <c r="K266" s="12"/>
      <c r="L266" s="13" t="str">
        <f>IF(C266="","",SUMIFS(入出庫履歴!$G$10:$G$1009,入出庫履歴!$E$10:$E$1009,C266,入出庫履歴!$D$10:$D$1009,"入庫"))</f>
        <v/>
      </c>
      <c r="M266" s="13" t="str">
        <f>IF(C266="","",SUMIFS(入出庫履歴!$G$10:$G$1009,入出庫履歴!$E$10:$E$1009,C266,入出庫履歴!$D$10:$D$1009,"出庫"))</f>
        <v/>
      </c>
      <c r="N266" s="13" t="str">
        <f>IF(C266="","",SUMIFS(入出庫履歴!$G$10:$G$1009,入出庫履歴!$E$10:$E$1009,C266,入出庫履歴!$D$10:$D$1009,"廃棄"))</f>
        <v/>
      </c>
      <c r="O266" s="14" t="str">
        <f>IF(C266="","",SUMIFS(入出庫履歴!$G$10:$G$1009,入出庫履歴!$E$10:$E$1009,C266,入出庫履歴!$D$10:$D$1009,"棚卸調整"))</f>
        <v/>
      </c>
      <c r="P266" s="13" t="str">
        <f t="shared" ref="P266:P329" si="16">IF(C266="","",L266-M266-N266+O266)</f>
        <v/>
      </c>
      <c r="Q266" s="15" t="str">
        <f t="shared" ref="Q266:Q329" si="17">IF(OR(C266="",K266=""),"",ROUND(P266*K266,0))</f>
        <v/>
      </c>
      <c r="R266" s="16"/>
      <c r="S266" s="16"/>
      <c r="T266" s="17" t="str">
        <f t="shared" ref="T266:T309" si="18">IF(C266="","",IF(P266&lt;0,"在庫異常",IF(P266=0,"欠品",IF(AND(R266&lt;&gt;"",P266&lt;=R266),"要発注","適正"))))</f>
        <v/>
      </c>
      <c r="U266" s="13" t="str">
        <f t="shared" ref="U266:U329" si="19">IF(OR(T266="要発注",T266="欠品"),IF(S266&gt;0,CEILING(MAX(R266-P266,0)+S266*0.0001,S266),MAX(R266-P266,0)),"")</f>
        <v/>
      </c>
      <c r="V266" s="18" t="str">
        <f>IF(C266="","",IF(_xlfn.MINIFS(入出庫履歴!$K$10:$K$1009,入出庫履歴!$E$10:$E$1009,C266,入出庫履歴!$N$10:$N$1009,"&gt;0")=0,"",_xlfn.MINIFS(入出庫履歴!$K$10:$K$1009,入出庫履歴!$E$10:$E$1009,C266,入出庫履歴!$N$10:$N$1009,"&gt;0")))</f>
        <v/>
      </c>
      <c r="W266" s="17" t="str">
        <f ca="1">IF(OR(V266="",P266&lt;=0),"",IF(V266&lt;TODAY(),"期限切れ",IF(V266-TODAY()&lt;=設定!$C$4,"期限間近","")))</f>
        <v/>
      </c>
      <c r="X266" s="19"/>
      <c r="Y266" s="19"/>
      <c r="Z266" t="str">
        <f>IF(OR(T266="要発注",T266="欠品",T266="在庫異常"),COUNTIF($T$10:T266,"要発注")+COUNTIF($T$10:T266,"欠品")+COUNTIF($T$10:T266,"在庫異常"),"")</f>
        <v/>
      </c>
    </row>
    <row r="267" spans="2:26">
      <c r="B267" s="8" t="str">
        <f>IF(C267="","",COUNTA($C$10:C267))</f>
        <v/>
      </c>
      <c r="C267" s="9"/>
      <c r="D267" s="19"/>
      <c r="E267" s="19"/>
      <c r="F267" s="10"/>
      <c r="G267" s="11"/>
      <c r="H267" s="9"/>
      <c r="I267" s="11"/>
      <c r="J267" s="19"/>
      <c r="K267" s="12"/>
      <c r="L267" s="13" t="str">
        <f>IF(C267="","",SUMIFS(入出庫履歴!$G$10:$G$1009,入出庫履歴!$E$10:$E$1009,C267,入出庫履歴!$D$10:$D$1009,"入庫"))</f>
        <v/>
      </c>
      <c r="M267" s="13" t="str">
        <f>IF(C267="","",SUMIFS(入出庫履歴!$G$10:$G$1009,入出庫履歴!$E$10:$E$1009,C267,入出庫履歴!$D$10:$D$1009,"出庫"))</f>
        <v/>
      </c>
      <c r="N267" s="13" t="str">
        <f>IF(C267="","",SUMIFS(入出庫履歴!$G$10:$G$1009,入出庫履歴!$E$10:$E$1009,C267,入出庫履歴!$D$10:$D$1009,"廃棄"))</f>
        <v/>
      </c>
      <c r="O267" s="14" t="str">
        <f>IF(C267="","",SUMIFS(入出庫履歴!$G$10:$G$1009,入出庫履歴!$E$10:$E$1009,C267,入出庫履歴!$D$10:$D$1009,"棚卸調整"))</f>
        <v/>
      </c>
      <c r="P267" s="13" t="str">
        <f t="shared" si="16"/>
        <v/>
      </c>
      <c r="Q267" s="15" t="str">
        <f t="shared" si="17"/>
        <v/>
      </c>
      <c r="R267" s="16"/>
      <c r="S267" s="16"/>
      <c r="T267" s="17" t="str">
        <f t="shared" si="18"/>
        <v/>
      </c>
      <c r="U267" s="13" t="str">
        <f t="shared" si="19"/>
        <v/>
      </c>
      <c r="V267" s="18" t="str">
        <f>IF(C267="","",IF(_xlfn.MINIFS(入出庫履歴!$K$10:$K$1009,入出庫履歴!$E$10:$E$1009,C267,入出庫履歴!$N$10:$N$1009,"&gt;0")=0,"",_xlfn.MINIFS(入出庫履歴!$K$10:$K$1009,入出庫履歴!$E$10:$E$1009,C267,入出庫履歴!$N$10:$N$1009,"&gt;0")))</f>
        <v/>
      </c>
      <c r="W267" s="17" t="str">
        <f ca="1">IF(OR(V267="",P267&lt;=0),"",IF(V267&lt;TODAY(),"期限切れ",IF(V267-TODAY()&lt;=設定!$C$4,"期限間近","")))</f>
        <v/>
      </c>
      <c r="X267" s="19"/>
      <c r="Y267" s="19"/>
      <c r="Z267" t="str">
        <f>IF(OR(T267="要発注",T267="欠品",T267="在庫異常"),COUNTIF($T$10:T267,"要発注")+COUNTIF($T$10:T267,"欠品")+COUNTIF($T$10:T267,"在庫異常"),"")</f>
        <v/>
      </c>
    </row>
    <row r="268" spans="2:26">
      <c r="B268" s="8" t="str">
        <f>IF(C268="","",COUNTA($C$10:C268))</f>
        <v/>
      </c>
      <c r="C268" s="9"/>
      <c r="D268" s="19"/>
      <c r="E268" s="19"/>
      <c r="F268" s="10"/>
      <c r="G268" s="11"/>
      <c r="H268" s="9"/>
      <c r="I268" s="11"/>
      <c r="J268" s="19"/>
      <c r="K268" s="12"/>
      <c r="L268" s="13" t="str">
        <f>IF(C268="","",SUMIFS(入出庫履歴!$G$10:$G$1009,入出庫履歴!$E$10:$E$1009,C268,入出庫履歴!$D$10:$D$1009,"入庫"))</f>
        <v/>
      </c>
      <c r="M268" s="13" t="str">
        <f>IF(C268="","",SUMIFS(入出庫履歴!$G$10:$G$1009,入出庫履歴!$E$10:$E$1009,C268,入出庫履歴!$D$10:$D$1009,"出庫"))</f>
        <v/>
      </c>
      <c r="N268" s="13" t="str">
        <f>IF(C268="","",SUMIFS(入出庫履歴!$G$10:$G$1009,入出庫履歴!$E$10:$E$1009,C268,入出庫履歴!$D$10:$D$1009,"廃棄"))</f>
        <v/>
      </c>
      <c r="O268" s="14" t="str">
        <f>IF(C268="","",SUMIFS(入出庫履歴!$G$10:$G$1009,入出庫履歴!$E$10:$E$1009,C268,入出庫履歴!$D$10:$D$1009,"棚卸調整"))</f>
        <v/>
      </c>
      <c r="P268" s="13" t="str">
        <f t="shared" si="16"/>
        <v/>
      </c>
      <c r="Q268" s="15" t="str">
        <f t="shared" si="17"/>
        <v/>
      </c>
      <c r="R268" s="16"/>
      <c r="S268" s="16"/>
      <c r="T268" s="17" t="str">
        <f t="shared" si="18"/>
        <v/>
      </c>
      <c r="U268" s="13" t="str">
        <f t="shared" si="19"/>
        <v/>
      </c>
      <c r="V268" s="18" t="str">
        <f>IF(C268="","",IF(_xlfn.MINIFS(入出庫履歴!$K$10:$K$1009,入出庫履歴!$E$10:$E$1009,C268,入出庫履歴!$N$10:$N$1009,"&gt;0")=0,"",_xlfn.MINIFS(入出庫履歴!$K$10:$K$1009,入出庫履歴!$E$10:$E$1009,C268,入出庫履歴!$N$10:$N$1009,"&gt;0")))</f>
        <v/>
      </c>
      <c r="W268" s="17" t="str">
        <f ca="1">IF(OR(V268="",P268&lt;=0),"",IF(V268&lt;TODAY(),"期限切れ",IF(V268-TODAY()&lt;=設定!$C$4,"期限間近","")))</f>
        <v/>
      </c>
      <c r="X268" s="19"/>
      <c r="Y268" s="19"/>
      <c r="Z268" t="str">
        <f>IF(OR(T268="要発注",T268="欠品",T268="在庫異常"),COUNTIF($T$10:T268,"要発注")+COUNTIF($T$10:T268,"欠品")+COUNTIF($T$10:T268,"在庫異常"),"")</f>
        <v/>
      </c>
    </row>
    <row r="269" spans="2:26">
      <c r="B269" s="8" t="str">
        <f>IF(C269="","",COUNTA($C$10:C269))</f>
        <v/>
      </c>
      <c r="C269" s="9"/>
      <c r="D269" s="19"/>
      <c r="E269" s="19"/>
      <c r="F269" s="10"/>
      <c r="G269" s="11"/>
      <c r="H269" s="9"/>
      <c r="I269" s="11"/>
      <c r="J269" s="19"/>
      <c r="K269" s="12"/>
      <c r="L269" s="13" t="str">
        <f>IF(C269="","",SUMIFS(入出庫履歴!$G$10:$G$1009,入出庫履歴!$E$10:$E$1009,C269,入出庫履歴!$D$10:$D$1009,"入庫"))</f>
        <v/>
      </c>
      <c r="M269" s="13" t="str">
        <f>IF(C269="","",SUMIFS(入出庫履歴!$G$10:$G$1009,入出庫履歴!$E$10:$E$1009,C269,入出庫履歴!$D$10:$D$1009,"出庫"))</f>
        <v/>
      </c>
      <c r="N269" s="13" t="str">
        <f>IF(C269="","",SUMIFS(入出庫履歴!$G$10:$G$1009,入出庫履歴!$E$10:$E$1009,C269,入出庫履歴!$D$10:$D$1009,"廃棄"))</f>
        <v/>
      </c>
      <c r="O269" s="14" t="str">
        <f>IF(C269="","",SUMIFS(入出庫履歴!$G$10:$G$1009,入出庫履歴!$E$10:$E$1009,C269,入出庫履歴!$D$10:$D$1009,"棚卸調整"))</f>
        <v/>
      </c>
      <c r="P269" s="13" t="str">
        <f t="shared" si="16"/>
        <v/>
      </c>
      <c r="Q269" s="15" t="str">
        <f t="shared" si="17"/>
        <v/>
      </c>
      <c r="R269" s="16"/>
      <c r="S269" s="16"/>
      <c r="T269" s="17" t="str">
        <f t="shared" si="18"/>
        <v/>
      </c>
      <c r="U269" s="13" t="str">
        <f t="shared" si="19"/>
        <v/>
      </c>
      <c r="V269" s="18" t="str">
        <f>IF(C269="","",IF(_xlfn.MINIFS(入出庫履歴!$K$10:$K$1009,入出庫履歴!$E$10:$E$1009,C269,入出庫履歴!$N$10:$N$1009,"&gt;0")=0,"",_xlfn.MINIFS(入出庫履歴!$K$10:$K$1009,入出庫履歴!$E$10:$E$1009,C269,入出庫履歴!$N$10:$N$1009,"&gt;0")))</f>
        <v/>
      </c>
      <c r="W269" s="17" t="str">
        <f ca="1">IF(OR(V269="",P269&lt;=0),"",IF(V269&lt;TODAY(),"期限切れ",IF(V269-TODAY()&lt;=設定!$C$4,"期限間近","")))</f>
        <v/>
      </c>
      <c r="X269" s="19"/>
      <c r="Y269" s="19"/>
      <c r="Z269" t="str">
        <f>IF(OR(T269="要発注",T269="欠品",T269="在庫異常"),COUNTIF($T$10:T269,"要発注")+COUNTIF($T$10:T269,"欠品")+COUNTIF($T$10:T269,"在庫異常"),"")</f>
        <v/>
      </c>
    </row>
    <row r="270" spans="2:26">
      <c r="B270" s="8" t="str">
        <f>IF(C270="","",COUNTA($C$10:C270))</f>
        <v/>
      </c>
      <c r="C270" s="9"/>
      <c r="D270" s="19"/>
      <c r="E270" s="19"/>
      <c r="F270" s="10"/>
      <c r="G270" s="11"/>
      <c r="H270" s="9"/>
      <c r="I270" s="11"/>
      <c r="J270" s="19"/>
      <c r="K270" s="12"/>
      <c r="L270" s="13" t="str">
        <f>IF(C270="","",SUMIFS(入出庫履歴!$G$10:$G$1009,入出庫履歴!$E$10:$E$1009,C270,入出庫履歴!$D$10:$D$1009,"入庫"))</f>
        <v/>
      </c>
      <c r="M270" s="13" t="str">
        <f>IF(C270="","",SUMIFS(入出庫履歴!$G$10:$G$1009,入出庫履歴!$E$10:$E$1009,C270,入出庫履歴!$D$10:$D$1009,"出庫"))</f>
        <v/>
      </c>
      <c r="N270" s="13" t="str">
        <f>IF(C270="","",SUMIFS(入出庫履歴!$G$10:$G$1009,入出庫履歴!$E$10:$E$1009,C270,入出庫履歴!$D$10:$D$1009,"廃棄"))</f>
        <v/>
      </c>
      <c r="O270" s="14" t="str">
        <f>IF(C270="","",SUMIFS(入出庫履歴!$G$10:$G$1009,入出庫履歴!$E$10:$E$1009,C270,入出庫履歴!$D$10:$D$1009,"棚卸調整"))</f>
        <v/>
      </c>
      <c r="P270" s="13" t="str">
        <f t="shared" si="16"/>
        <v/>
      </c>
      <c r="Q270" s="15" t="str">
        <f t="shared" si="17"/>
        <v/>
      </c>
      <c r="R270" s="16"/>
      <c r="S270" s="16"/>
      <c r="T270" s="17" t="str">
        <f t="shared" si="18"/>
        <v/>
      </c>
      <c r="U270" s="13" t="str">
        <f t="shared" si="19"/>
        <v/>
      </c>
      <c r="V270" s="18" t="str">
        <f>IF(C270="","",IF(_xlfn.MINIFS(入出庫履歴!$K$10:$K$1009,入出庫履歴!$E$10:$E$1009,C270,入出庫履歴!$N$10:$N$1009,"&gt;0")=0,"",_xlfn.MINIFS(入出庫履歴!$K$10:$K$1009,入出庫履歴!$E$10:$E$1009,C270,入出庫履歴!$N$10:$N$1009,"&gt;0")))</f>
        <v/>
      </c>
      <c r="W270" s="17" t="str">
        <f ca="1">IF(OR(V270="",P270&lt;=0),"",IF(V270&lt;TODAY(),"期限切れ",IF(V270-TODAY()&lt;=設定!$C$4,"期限間近","")))</f>
        <v/>
      </c>
      <c r="X270" s="19"/>
      <c r="Y270" s="19"/>
      <c r="Z270" t="str">
        <f>IF(OR(T270="要発注",T270="欠品",T270="在庫異常"),COUNTIF($T$10:T270,"要発注")+COUNTIF($T$10:T270,"欠品")+COUNTIF($T$10:T270,"在庫異常"),"")</f>
        <v/>
      </c>
    </row>
    <row r="271" spans="2:26">
      <c r="B271" s="8" t="str">
        <f>IF(C271="","",COUNTA($C$10:C271))</f>
        <v/>
      </c>
      <c r="C271" s="9"/>
      <c r="D271" s="19"/>
      <c r="E271" s="19"/>
      <c r="F271" s="10"/>
      <c r="G271" s="11"/>
      <c r="H271" s="9"/>
      <c r="I271" s="11"/>
      <c r="J271" s="19"/>
      <c r="K271" s="12"/>
      <c r="L271" s="13" t="str">
        <f>IF(C271="","",SUMIFS(入出庫履歴!$G$10:$G$1009,入出庫履歴!$E$10:$E$1009,C271,入出庫履歴!$D$10:$D$1009,"入庫"))</f>
        <v/>
      </c>
      <c r="M271" s="13" t="str">
        <f>IF(C271="","",SUMIFS(入出庫履歴!$G$10:$G$1009,入出庫履歴!$E$10:$E$1009,C271,入出庫履歴!$D$10:$D$1009,"出庫"))</f>
        <v/>
      </c>
      <c r="N271" s="13" t="str">
        <f>IF(C271="","",SUMIFS(入出庫履歴!$G$10:$G$1009,入出庫履歴!$E$10:$E$1009,C271,入出庫履歴!$D$10:$D$1009,"廃棄"))</f>
        <v/>
      </c>
      <c r="O271" s="14" t="str">
        <f>IF(C271="","",SUMIFS(入出庫履歴!$G$10:$G$1009,入出庫履歴!$E$10:$E$1009,C271,入出庫履歴!$D$10:$D$1009,"棚卸調整"))</f>
        <v/>
      </c>
      <c r="P271" s="13" t="str">
        <f t="shared" si="16"/>
        <v/>
      </c>
      <c r="Q271" s="15" t="str">
        <f t="shared" si="17"/>
        <v/>
      </c>
      <c r="R271" s="16"/>
      <c r="S271" s="16"/>
      <c r="T271" s="17" t="str">
        <f t="shared" si="18"/>
        <v/>
      </c>
      <c r="U271" s="13" t="str">
        <f t="shared" si="19"/>
        <v/>
      </c>
      <c r="V271" s="18" t="str">
        <f>IF(C271="","",IF(_xlfn.MINIFS(入出庫履歴!$K$10:$K$1009,入出庫履歴!$E$10:$E$1009,C271,入出庫履歴!$N$10:$N$1009,"&gt;0")=0,"",_xlfn.MINIFS(入出庫履歴!$K$10:$K$1009,入出庫履歴!$E$10:$E$1009,C271,入出庫履歴!$N$10:$N$1009,"&gt;0")))</f>
        <v/>
      </c>
      <c r="W271" s="17" t="str">
        <f ca="1">IF(OR(V271="",P271&lt;=0),"",IF(V271&lt;TODAY(),"期限切れ",IF(V271-TODAY()&lt;=設定!$C$4,"期限間近","")))</f>
        <v/>
      </c>
      <c r="X271" s="19"/>
      <c r="Y271" s="19"/>
      <c r="Z271" t="str">
        <f>IF(OR(T271="要発注",T271="欠品",T271="在庫異常"),COUNTIF($T$10:T271,"要発注")+COUNTIF($T$10:T271,"欠品")+COUNTIF($T$10:T271,"在庫異常"),"")</f>
        <v/>
      </c>
    </row>
    <row r="272" spans="2:26">
      <c r="B272" s="8" t="str">
        <f>IF(C272="","",COUNTA($C$10:C272))</f>
        <v/>
      </c>
      <c r="C272" s="9"/>
      <c r="D272" s="19"/>
      <c r="E272" s="19"/>
      <c r="F272" s="10"/>
      <c r="G272" s="11"/>
      <c r="H272" s="9"/>
      <c r="I272" s="11"/>
      <c r="J272" s="19"/>
      <c r="K272" s="12"/>
      <c r="L272" s="13" t="str">
        <f>IF(C272="","",SUMIFS(入出庫履歴!$G$10:$G$1009,入出庫履歴!$E$10:$E$1009,C272,入出庫履歴!$D$10:$D$1009,"入庫"))</f>
        <v/>
      </c>
      <c r="M272" s="13" t="str">
        <f>IF(C272="","",SUMIFS(入出庫履歴!$G$10:$G$1009,入出庫履歴!$E$10:$E$1009,C272,入出庫履歴!$D$10:$D$1009,"出庫"))</f>
        <v/>
      </c>
      <c r="N272" s="13" t="str">
        <f>IF(C272="","",SUMIFS(入出庫履歴!$G$10:$G$1009,入出庫履歴!$E$10:$E$1009,C272,入出庫履歴!$D$10:$D$1009,"廃棄"))</f>
        <v/>
      </c>
      <c r="O272" s="14" t="str">
        <f>IF(C272="","",SUMIFS(入出庫履歴!$G$10:$G$1009,入出庫履歴!$E$10:$E$1009,C272,入出庫履歴!$D$10:$D$1009,"棚卸調整"))</f>
        <v/>
      </c>
      <c r="P272" s="13" t="str">
        <f t="shared" si="16"/>
        <v/>
      </c>
      <c r="Q272" s="15" t="str">
        <f t="shared" si="17"/>
        <v/>
      </c>
      <c r="R272" s="16"/>
      <c r="S272" s="16"/>
      <c r="T272" s="17" t="str">
        <f t="shared" si="18"/>
        <v/>
      </c>
      <c r="U272" s="13" t="str">
        <f t="shared" si="19"/>
        <v/>
      </c>
      <c r="V272" s="18" t="str">
        <f>IF(C272="","",IF(_xlfn.MINIFS(入出庫履歴!$K$10:$K$1009,入出庫履歴!$E$10:$E$1009,C272,入出庫履歴!$N$10:$N$1009,"&gt;0")=0,"",_xlfn.MINIFS(入出庫履歴!$K$10:$K$1009,入出庫履歴!$E$10:$E$1009,C272,入出庫履歴!$N$10:$N$1009,"&gt;0")))</f>
        <v/>
      </c>
      <c r="W272" s="17" t="str">
        <f ca="1">IF(OR(V272="",P272&lt;=0),"",IF(V272&lt;TODAY(),"期限切れ",IF(V272-TODAY()&lt;=設定!$C$4,"期限間近","")))</f>
        <v/>
      </c>
      <c r="X272" s="19"/>
      <c r="Y272" s="19"/>
      <c r="Z272" t="str">
        <f>IF(OR(T272="要発注",T272="欠品",T272="在庫異常"),COUNTIF($T$10:T272,"要発注")+COUNTIF($T$10:T272,"欠品")+COUNTIF($T$10:T272,"在庫異常"),"")</f>
        <v/>
      </c>
    </row>
    <row r="273" spans="2:26">
      <c r="B273" s="8" t="str">
        <f>IF(C273="","",COUNTA($C$10:C273))</f>
        <v/>
      </c>
      <c r="C273" s="9"/>
      <c r="D273" s="19"/>
      <c r="E273" s="19"/>
      <c r="F273" s="10"/>
      <c r="G273" s="11"/>
      <c r="H273" s="9"/>
      <c r="I273" s="11"/>
      <c r="J273" s="19"/>
      <c r="K273" s="12"/>
      <c r="L273" s="13" t="str">
        <f>IF(C273="","",SUMIFS(入出庫履歴!$G$10:$G$1009,入出庫履歴!$E$10:$E$1009,C273,入出庫履歴!$D$10:$D$1009,"入庫"))</f>
        <v/>
      </c>
      <c r="M273" s="13" t="str">
        <f>IF(C273="","",SUMIFS(入出庫履歴!$G$10:$G$1009,入出庫履歴!$E$10:$E$1009,C273,入出庫履歴!$D$10:$D$1009,"出庫"))</f>
        <v/>
      </c>
      <c r="N273" s="13" t="str">
        <f>IF(C273="","",SUMIFS(入出庫履歴!$G$10:$G$1009,入出庫履歴!$E$10:$E$1009,C273,入出庫履歴!$D$10:$D$1009,"廃棄"))</f>
        <v/>
      </c>
      <c r="O273" s="14" t="str">
        <f>IF(C273="","",SUMIFS(入出庫履歴!$G$10:$G$1009,入出庫履歴!$E$10:$E$1009,C273,入出庫履歴!$D$10:$D$1009,"棚卸調整"))</f>
        <v/>
      </c>
      <c r="P273" s="13" t="str">
        <f t="shared" si="16"/>
        <v/>
      </c>
      <c r="Q273" s="15" t="str">
        <f t="shared" si="17"/>
        <v/>
      </c>
      <c r="R273" s="16"/>
      <c r="S273" s="16"/>
      <c r="T273" s="17" t="str">
        <f t="shared" si="18"/>
        <v/>
      </c>
      <c r="U273" s="13" t="str">
        <f t="shared" si="19"/>
        <v/>
      </c>
      <c r="V273" s="18" t="str">
        <f>IF(C273="","",IF(_xlfn.MINIFS(入出庫履歴!$K$10:$K$1009,入出庫履歴!$E$10:$E$1009,C273,入出庫履歴!$N$10:$N$1009,"&gt;0")=0,"",_xlfn.MINIFS(入出庫履歴!$K$10:$K$1009,入出庫履歴!$E$10:$E$1009,C273,入出庫履歴!$N$10:$N$1009,"&gt;0")))</f>
        <v/>
      </c>
      <c r="W273" s="17" t="str">
        <f ca="1">IF(OR(V273="",P273&lt;=0),"",IF(V273&lt;TODAY(),"期限切れ",IF(V273-TODAY()&lt;=設定!$C$4,"期限間近","")))</f>
        <v/>
      </c>
      <c r="X273" s="19"/>
      <c r="Y273" s="19"/>
      <c r="Z273" t="str">
        <f>IF(OR(T273="要発注",T273="欠品",T273="在庫異常"),COUNTIF($T$10:T273,"要発注")+COUNTIF($T$10:T273,"欠品")+COUNTIF($T$10:T273,"在庫異常"),"")</f>
        <v/>
      </c>
    </row>
    <row r="274" spans="2:26">
      <c r="B274" s="8" t="str">
        <f>IF(C274="","",COUNTA($C$10:C274))</f>
        <v/>
      </c>
      <c r="C274" s="9"/>
      <c r="D274" s="19"/>
      <c r="E274" s="19"/>
      <c r="F274" s="10"/>
      <c r="G274" s="11"/>
      <c r="H274" s="9"/>
      <c r="I274" s="11"/>
      <c r="J274" s="19"/>
      <c r="K274" s="12"/>
      <c r="L274" s="13" t="str">
        <f>IF(C274="","",SUMIFS(入出庫履歴!$G$10:$G$1009,入出庫履歴!$E$10:$E$1009,C274,入出庫履歴!$D$10:$D$1009,"入庫"))</f>
        <v/>
      </c>
      <c r="M274" s="13" t="str">
        <f>IF(C274="","",SUMIFS(入出庫履歴!$G$10:$G$1009,入出庫履歴!$E$10:$E$1009,C274,入出庫履歴!$D$10:$D$1009,"出庫"))</f>
        <v/>
      </c>
      <c r="N274" s="13" t="str">
        <f>IF(C274="","",SUMIFS(入出庫履歴!$G$10:$G$1009,入出庫履歴!$E$10:$E$1009,C274,入出庫履歴!$D$10:$D$1009,"廃棄"))</f>
        <v/>
      </c>
      <c r="O274" s="14" t="str">
        <f>IF(C274="","",SUMIFS(入出庫履歴!$G$10:$G$1009,入出庫履歴!$E$10:$E$1009,C274,入出庫履歴!$D$10:$D$1009,"棚卸調整"))</f>
        <v/>
      </c>
      <c r="P274" s="13" t="str">
        <f t="shared" si="16"/>
        <v/>
      </c>
      <c r="Q274" s="15" t="str">
        <f t="shared" si="17"/>
        <v/>
      </c>
      <c r="R274" s="16"/>
      <c r="S274" s="16"/>
      <c r="T274" s="17" t="str">
        <f t="shared" si="18"/>
        <v/>
      </c>
      <c r="U274" s="13" t="str">
        <f t="shared" si="19"/>
        <v/>
      </c>
      <c r="V274" s="18" t="str">
        <f>IF(C274="","",IF(_xlfn.MINIFS(入出庫履歴!$K$10:$K$1009,入出庫履歴!$E$10:$E$1009,C274,入出庫履歴!$N$10:$N$1009,"&gt;0")=0,"",_xlfn.MINIFS(入出庫履歴!$K$10:$K$1009,入出庫履歴!$E$10:$E$1009,C274,入出庫履歴!$N$10:$N$1009,"&gt;0")))</f>
        <v/>
      </c>
      <c r="W274" s="17" t="str">
        <f ca="1">IF(OR(V274="",P274&lt;=0),"",IF(V274&lt;TODAY(),"期限切れ",IF(V274-TODAY()&lt;=設定!$C$4,"期限間近","")))</f>
        <v/>
      </c>
      <c r="X274" s="19"/>
      <c r="Y274" s="19"/>
      <c r="Z274" t="str">
        <f>IF(OR(T274="要発注",T274="欠品",T274="在庫異常"),COUNTIF($T$10:T274,"要発注")+COUNTIF($T$10:T274,"欠品")+COUNTIF($T$10:T274,"在庫異常"),"")</f>
        <v/>
      </c>
    </row>
    <row r="275" spans="2:26">
      <c r="B275" s="8" t="str">
        <f>IF(C275="","",COUNTA($C$10:C275))</f>
        <v/>
      </c>
      <c r="C275" s="9"/>
      <c r="D275" s="19"/>
      <c r="E275" s="19"/>
      <c r="F275" s="10"/>
      <c r="G275" s="11"/>
      <c r="H275" s="9"/>
      <c r="I275" s="11"/>
      <c r="J275" s="19"/>
      <c r="K275" s="12"/>
      <c r="L275" s="13" t="str">
        <f>IF(C275="","",SUMIFS(入出庫履歴!$G$10:$G$1009,入出庫履歴!$E$10:$E$1009,C275,入出庫履歴!$D$10:$D$1009,"入庫"))</f>
        <v/>
      </c>
      <c r="M275" s="13" t="str">
        <f>IF(C275="","",SUMIFS(入出庫履歴!$G$10:$G$1009,入出庫履歴!$E$10:$E$1009,C275,入出庫履歴!$D$10:$D$1009,"出庫"))</f>
        <v/>
      </c>
      <c r="N275" s="13" t="str">
        <f>IF(C275="","",SUMIFS(入出庫履歴!$G$10:$G$1009,入出庫履歴!$E$10:$E$1009,C275,入出庫履歴!$D$10:$D$1009,"廃棄"))</f>
        <v/>
      </c>
      <c r="O275" s="14" t="str">
        <f>IF(C275="","",SUMIFS(入出庫履歴!$G$10:$G$1009,入出庫履歴!$E$10:$E$1009,C275,入出庫履歴!$D$10:$D$1009,"棚卸調整"))</f>
        <v/>
      </c>
      <c r="P275" s="13" t="str">
        <f t="shared" si="16"/>
        <v/>
      </c>
      <c r="Q275" s="15" t="str">
        <f t="shared" si="17"/>
        <v/>
      </c>
      <c r="R275" s="16"/>
      <c r="S275" s="16"/>
      <c r="T275" s="17" t="str">
        <f t="shared" si="18"/>
        <v/>
      </c>
      <c r="U275" s="13" t="str">
        <f t="shared" si="19"/>
        <v/>
      </c>
      <c r="V275" s="18" t="str">
        <f>IF(C275="","",IF(_xlfn.MINIFS(入出庫履歴!$K$10:$K$1009,入出庫履歴!$E$10:$E$1009,C275,入出庫履歴!$N$10:$N$1009,"&gt;0")=0,"",_xlfn.MINIFS(入出庫履歴!$K$10:$K$1009,入出庫履歴!$E$10:$E$1009,C275,入出庫履歴!$N$10:$N$1009,"&gt;0")))</f>
        <v/>
      </c>
      <c r="W275" s="17" t="str">
        <f ca="1">IF(OR(V275="",P275&lt;=0),"",IF(V275&lt;TODAY(),"期限切れ",IF(V275-TODAY()&lt;=設定!$C$4,"期限間近","")))</f>
        <v/>
      </c>
      <c r="X275" s="19"/>
      <c r="Y275" s="19"/>
      <c r="Z275" t="str">
        <f>IF(OR(T275="要発注",T275="欠品",T275="在庫異常"),COUNTIF($T$10:T275,"要発注")+COUNTIF($T$10:T275,"欠品")+COUNTIF($T$10:T275,"在庫異常"),"")</f>
        <v/>
      </c>
    </row>
    <row r="276" spans="2:26">
      <c r="B276" s="8" t="str">
        <f>IF(C276="","",COUNTA($C$10:C276))</f>
        <v/>
      </c>
      <c r="C276" s="9"/>
      <c r="D276" s="19"/>
      <c r="E276" s="19"/>
      <c r="F276" s="10"/>
      <c r="G276" s="11"/>
      <c r="H276" s="9"/>
      <c r="I276" s="11"/>
      <c r="J276" s="19"/>
      <c r="K276" s="12"/>
      <c r="L276" s="13" t="str">
        <f>IF(C276="","",SUMIFS(入出庫履歴!$G$10:$G$1009,入出庫履歴!$E$10:$E$1009,C276,入出庫履歴!$D$10:$D$1009,"入庫"))</f>
        <v/>
      </c>
      <c r="M276" s="13" t="str">
        <f>IF(C276="","",SUMIFS(入出庫履歴!$G$10:$G$1009,入出庫履歴!$E$10:$E$1009,C276,入出庫履歴!$D$10:$D$1009,"出庫"))</f>
        <v/>
      </c>
      <c r="N276" s="13" t="str">
        <f>IF(C276="","",SUMIFS(入出庫履歴!$G$10:$G$1009,入出庫履歴!$E$10:$E$1009,C276,入出庫履歴!$D$10:$D$1009,"廃棄"))</f>
        <v/>
      </c>
      <c r="O276" s="14" t="str">
        <f>IF(C276="","",SUMIFS(入出庫履歴!$G$10:$G$1009,入出庫履歴!$E$10:$E$1009,C276,入出庫履歴!$D$10:$D$1009,"棚卸調整"))</f>
        <v/>
      </c>
      <c r="P276" s="13" t="str">
        <f t="shared" si="16"/>
        <v/>
      </c>
      <c r="Q276" s="15" t="str">
        <f t="shared" si="17"/>
        <v/>
      </c>
      <c r="R276" s="16"/>
      <c r="S276" s="16"/>
      <c r="T276" s="17" t="str">
        <f t="shared" si="18"/>
        <v/>
      </c>
      <c r="U276" s="13" t="str">
        <f t="shared" si="19"/>
        <v/>
      </c>
      <c r="V276" s="18" t="str">
        <f>IF(C276="","",IF(_xlfn.MINIFS(入出庫履歴!$K$10:$K$1009,入出庫履歴!$E$10:$E$1009,C276,入出庫履歴!$N$10:$N$1009,"&gt;0")=0,"",_xlfn.MINIFS(入出庫履歴!$K$10:$K$1009,入出庫履歴!$E$10:$E$1009,C276,入出庫履歴!$N$10:$N$1009,"&gt;0")))</f>
        <v/>
      </c>
      <c r="W276" s="17" t="str">
        <f ca="1">IF(OR(V276="",P276&lt;=0),"",IF(V276&lt;TODAY(),"期限切れ",IF(V276-TODAY()&lt;=設定!$C$4,"期限間近","")))</f>
        <v/>
      </c>
      <c r="X276" s="19"/>
      <c r="Y276" s="19"/>
      <c r="Z276" t="str">
        <f>IF(OR(T276="要発注",T276="欠品",T276="在庫異常"),COUNTIF($T$10:T276,"要発注")+COUNTIF($T$10:T276,"欠品")+COUNTIF($T$10:T276,"在庫異常"),"")</f>
        <v/>
      </c>
    </row>
    <row r="277" spans="2:26">
      <c r="B277" s="8" t="str">
        <f>IF(C277="","",COUNTA($C$10:C277))</f>
        <v/>
      </c>
      <c r="C277" s="9"/>
      <c r="D277" s="19"/>
      <c r="E277" s="19"/>
      <c r="F277" s="10"/>
      <c r="G277" s="11"/>
      <c r="H277" s="9"/>
      <c r="I277" s="11"/>
      <c r="J277" s="19"/>
      <c r="K277" s="12"/>
      <c r="L277" s="13" t="str">
        <f>IF(C277="","",SUMIFS(入出庫履歴!$G$10:$G$1009,入出庫履歴!$E$10:$E$1009,C277,入出庫履歴!$D$10:$D$1009,"入庫"))</f>
        <v/>
      </c>
      <c r="M277" s="13" t="str">
        <f>IF(C277="","",SUMIFS(入出庫履歴!$G$10:$G$1009,入出庫履歴!$E$10:$E$1009,C277,入出庫履歴!$D$10:$D$1009,"出庫"))</f>
        <v/>
      </c>
      <c r="N277" s="13" t="str">
        <f>IF(C277="","",SUMIFS(入出庫履歴!$G$10:$G$1009,入出庫履歴!$E$10:$E$1009,C277,入出庫履歴!$D$10:$D$1009,"廃棄"))</f>
        <v/>
      </c>
      <c r="O277" s="14" t="str">
        <f>IF(C277="","",SUMIFS(入出庫履歴!$G$10:$G$1009,入出庫履歴!$E$10:$E$1009,C277,入出庫履歴!$D$10:$D$1009,"棚卸調整"))</f>
        <v/>
      </c>
      <c r="P277" s="13" t="str">
        <f t="shared" si="16"/>
        <v/>
      </c>
      <c r="Q277" s="15" t="str">
        <f t="shared" si="17"/>
        <v/>
      </c>
      <c r="R277" s="16"/>
      <c r="S277" s="16"/>
      <c r="T277" s="17" t="str">
        <f t="shared" si="18"/>
        <v/>
      </c>
      <c r="U277" s="13" t="str">
        <f t="shared" si="19"/>
        <v/>
      </c>
      <c r="V277" s="18" t="str">
        <f>IF(C277="","",IF(_xlfn.MINIFS(入出庫履歴!$K$10:$K$1009,入出庫履歴!$E$10:$E$1009,C277,入出庫履歴!$N$10:$N$1009,"&gt;0")=0,"",_xlfn.MINIFS(入出庫履歴!$K$10:$K$1009,入出庫履歴!$E$10:$E$1009,C277,入出庫履歴!$N$10:$N$1009,"&gt;0")))</f>
        <v/>
      </c>
      <c r="W277" s="17" t="str">
        <f ca="1">IF(OR(V277="",P277&lt;=0),"",IF(V277&lt;TODAY(),"期限切れ",IF(V277-TODAY()&lt;=設定!$C$4,"期限間近","")))</f>
        <v/>
      </c>
      <c r="X277" s="19"/>
      <c r="Y277" s="19"/>
      <c r="Z277" t="str">
        <f>IF(OR(T277="要発注",T277="欠品",T277="在庫異常"),COUNTIF($T$10:T277,"要発注")+COUNTIF($T$10:T277,"欠品")+COUNTIF($T$10:T277,"在庫異常"),"")</f>
        <v/>
      </c>
    </row>
    <row r="278" spans="2:26">
      <c r="B278" s="8" t="str">
        <f>IF(C278="","",COUNTA($C$10:C278))</f>
        <v/>
      </c>
      <c r="C278" s="9"/>
      <c r="D278" s="19"/>
      <c r="E278" s="19"/>
      <c r="F278" s="10"/>
      <c r="G278" s="11"/>
      <c r="H278" s="9"/>
      <c r="I278" s="11"/>
      <c r="J278" s="19"/>
      <c r="K278" s="12"/>
      <c r="L278" s="13" t="str">
        <f>IF(C278="","",SUMIFS(入出庫履歴!$G$10:$G$1009,入出庫履歴!$E$10:$E$1009,C278,入出庫履歴!$D$10:$D$1009,"入庫"))</f>
        <v/>
      </c>
      <c r="M278" s="13" t="str">
        <f>IF(C278="","",SUMIFS(入出庫履歴!$G$10:$G$1009,入出庫履歴!$E$10:$E$1009,C278,入出庫履歴!$D$10:$D$1009,"出庫"))</f>
        <v/>
      </c>
      <c r="N278" s="13" t="str">
        <f>IF(C278="","",SUMIFS(入出庫履歴!$G$10:$G$1009,入出庫履歴!$E$10:$E$1009,C278,入出庫履歴!$D$10:$D$1009,"廃棄"))</f>
        <v/>
      </c>
      <c r="O278" s="14" t="str">
        <f>IF(C278="","",SUMIFS(入出庫履歴!$G$10:$G$1009,入出庫履歴!$E$10:$E$1009,C278,入出庫履歴!$D$10:$D$1009,"棚卸調整"))</f>
        <v/>
      </c>
      <c r="P278" s="13" t="str">
        <f t="shared" si="16"/>
        <v/>
      </c>
      <c r="Q278" s="15" t="str">
        <f t="shared" si="17"/>
        <v/>
      </c>
      <c r="R278" s="16"/>
      <c r="S278" s="16"/>
      <c r="T278" s="17" t="str">
        <f t="shared" si="18"/>
        <v/>
      </c>
      <c r="U278" s="13" t="str">
        <f t="shared" si="19"/>
        <v/>
      </c>
      <c r="V278" s="18" t="str">
        <f>IF(C278="","",IF(_xlfn.MINIFS(入出庫履歴!$K$10:$K$1009,入出庫履歴!$E$10:$E$1009,C278,入出庫履歴!$N$10:$N$1009,"&gt;0")=0,"",_xlfn.MINIFS(入出庫履歴!$K$10:$K$1009,入出庫履歴!$E$10:$E$1009,C278,入出庫履歴!$N$10:$N$1009,"&gt;0")))</f>
        <v/>
      </c>
      <c r="W278" s="17" t="str">
        <f ca="1">IF(OR(V278="",P278&lt;=0),"",IF(V278&lt;TODAY(),"期限切れ",IF(V278-TODAY()&lt;=設定!$C$4,"期限間近","")))</f>
        <v/>
      </c>
      <c r="X278" s="19"/>
      <c r="Y278" s="19"/>
      <c r="Z278" t="str">
        <f>IF(OR(T278="要発注",T278="欠品",T278="在庫異常"),COUNTIF($T$10:T278,"要発注")+COUNTIF($T$10:T278,"欠品")+COUNTIF($T$10:T278,"在庫異常"),"")</f>
        <v/>
      </c>
    </row>
    <row r="279" spans="2:26">
      <c r="B279" s="8" t="str">
        <f>IF(C279="","",COUNTA($C$10:C279))</f>
        <v/>
      </c>
      <c r="C279" s="9"/>
      <c r="D279" s="19"/>
      <c r="E279" s="19"/>
      <c r="F279" s="10"/>
      <c r="G279" s="11"/>
      <c r="H279" s="9"/>
      <c r="I279" s="11"/>
      <c r="J279" s="19"/>
      <c r="K279" s="12"/>
      <c r="L279" s="13" t="str">
        <f>IF(C279="","",SUMIFS(入出庫履歴!$G$10:$G$1009,入出庫履歴!$E$10:$E$1009,C279,入出庫履歴!$D$10:$D$1009,"入庫"))</f>
        <v/>
      </c>
      <c r="M279" s="13" t="str">
        <f>IF(C279="","",SUMIFS(入出庫履歴!$G$10:$G$1009,入出庫履歴!$E$10:$E$1009,C279,入出庫履歴!$D$10:$D$1009,"出庫"))</f>
        <v/>
      </c>
      <c r="N279" s="13" t="str">
        <f>IF(C279="","",SUMIFS(入出庫履歴!$G$10:$G$1009,入出庫履歴!$E$10:$E$1009,C279,入出庫履歴!$D$10:$D$1009,"廃棄"))</f>
        <v/>
      </c>
      <c r="O279" s="14" t="str">
        <f>IF(C279="","",SUMIFS(入出庫履歴!$G$10:$G$1009,入出庫履歴!$E$10:$E$1009,C279,入出庫履歴!$D$10:$D$1009,"棚卸調整"))</f>
        <v/>
      </c>
      <c r="P279" s="13" t="str">
        <f t="shared" si="16"/>
        <v/>
      </c>
      <c r="Q279" s="15" t="str">
        <f t="shared" si="17"/>
        <v/>
      </c>
      <c r="R279" s="16"/>
      <c r="S279" s="16"/>
      <c r="T279" s="17" t="str">
        <f t="shared" si="18"/>
        <v/>
      </c>
      <c r="U279" s="13" t="str">
        <f t="shared" si="19"/>
        <v/>
      </c>
      <c r="V279" s="18" t="str">
        <f>IF(C279="","",IF(_xlfn.MINIFS(入出庫履歴!$K$10:$K$1009,入出庫履歴!$E$10:$E$1009,C279,入出庫履歴!$N$10:$N$1009,"&gt;0")=0,"",_xlfn.MINIFS(入出庫履歴!$K$10:$K$1009,入出庫履歴!$E$10:$E$1009,C279,入出庫履歴!$N$10:$N$1009,"&gt;0")))</f>
        <v/>
      </c>
      <c r="W279" s="17" t="str">
        <f ca="1">IF(OR(V279="",P279&lt;=0),"",IF(V279&lt;TODAY(),"期限切れ",IF(V279-TODAY()&lt;=設定!$C$4,"期限間近","")))</f>
        <v/>
      </c>
      <c r="X279" s="19"/>
      <c r="Y279" s="19"/>
      <c r="Z279" t="str">
        <f>IF(OR(T279="要発注",T279="欠品",T279="在庫異常"),COUNTIF($T$10:T279,"要発注")+COUNTIF($T$10:T279,"欠品")+COUNTIF($T$10:T279,"在庫異常"),"")</f>
        <v/>
      </c>
    </row>
    <row r="280" spans="2:26">
      <c r="B280" s="8" t="str">
        <f>IF(C280="","",COUNTA($C$10:C280))</f>
        <v/>
      </c>
      <c r="C280" s="9"/>
      <c r="D280" s="19"/>
      <c r="E280" s="19"/>
      <c r="F280" s="10"/>
      <c r="G280" s="11"/>
      <c r="H280" s="9"/>
      <c r="I280" s="11"/>
      <c r="J280" s="19"/>
      <c r="K280" s="12"/>
      <c r="L280" s="13" t="str">
        <f>IF(C280="","",SUMIFS(入出庫履歴!$G$10:$G$1009,入出庫履歴!$E$10:$E$1009,C280,入出庫履歴!$D$10:$D$1009,"入庫"))</f>
        <v/>
      </c>
      <c r="M280" s="13" t="str">
        <f>IF(C280="","",SUMIFS(入出庫履歴!$G$10:$G$1009,入出庫履歴!$E$10:$E$1009,C280,入出庫履歴!$D$10:$D$1009,"出庫"))</f>
        <v/>
      </c>
      <c r="N280" s="13" t="str">
        <f>IF(C280="","",SUMIFS(入出庫履歴!$G$10:$G$1009,入出庫履歴!$E$10:$E$1009,C280,入出庫履歴!$D$10:$D$1009,"廃棄"))</f>
        <v/>
      </c>
      <c r="O280" s="14" t="str">
        <f>IF(C280="","",SUMIFS(入出庫履歴!$G$10:$G$1009,入出庫履歴!$E$10:$E$1009,C280,入出庫履歴!$D$10:$D$1009,"棚卸調整"))</f>
        <v/>
      </c>
      <c r="P280" s="13" t="str">
        <f t="shared" si="16"/>
        <v/>
      </c>
      <c r="Q280" s="15" t="str">
        <f t="shared" si="17"/>
        <v/>
      </c>
      <c r="R280" s="16"/>
      <c r="S280" s="16"/>
      <c r="T280" s="17" t="str">
        <f t="shared" si="18"/>
        <v/>
      </c>
      <c r="U280" s="13" t="str">
        <f t="shared" si="19"/>
        <v/>
      </c>
      <c r="V280" s="18" t="str">
        <f>IF(C280="","",IF(_xlfn.MINIFS(入出庫履歴!$K$10:$K$1009,入出庫履歴!$E$10:$E$1009,C280,入出庫履歴!$N$10:$N$1009,"&gt;0")=0,"",_xlfn.MINIFS(入出庫履歴!$K$10:$K$1009,入出庫履歴!$E$10:$E$1009,C280,入出庫履歴!$N$10:$N$1009,"&gt;0")))</f>
        <v/>
      </c>
      <c r="W280" s="17" t="str">
        <f ca="1">IF(OR(V280="",P280&lt;=0),"",IF(V280&lt;TODAY(),"期限切れ",IF(V280-TODAY()&lt;=設定!$C$4,"期限間近","")))</f>
        <v/>
      </c>
      <c r="X280" s="19"/>
      <c r="Y280" s="19"/>
      <c r="Z280" t="str">
        <f>IF(OR(T280="要発注",T280="欠品",T280="在庫異常"),COUNTIF($T$10:T280,"要発注")+COUNTIF($T$10:T280,"欠品")+COUNTIF($T$10:T280,"在庫異常"),"")</f>
        <v/>
      </c>
    </row>
    <row r="281" spans="2:26">
      <c r="B281" s="8" t="str">
        <f>IF(C281="","",COUNTA($C$10:C281))</f>
        <v/>
      </c>
      <c r="C281" s="9"/>
      <c r="D281" s="19"/>
      <c r="E281" s="19"/>
      <c r="F281" s="10"/>
      <c r="G281" s="11"/>
      <c r="H281" s="9"/>
      <c r="I281" s="11"/>
      <c r="J281" s="19"/>
      <c r="K281" s="12"/>
      <c r="L281" s="13" t="str">
        <f>IF(C281="","",SUMIFS(入出庫履歴!$G$10:$G$1009,入出庫履歴!$E$10:$E$1009,C281,入出庫履歴!$D$10:$D$1009,"入庫"))</f>
        <v/>
      </c>
      <c r="M281" s="13" t="str">
        <f>IF(C281="","",SUMIFS(入出庫履歴!$G$10:$G$1009,入出庫履歴!$E$10:$E$1009,C281,入出庫履歴!$D$10:$D$1009,"出庫"))</f>
        <v/>
      </c>
      <c r="N281" s="13" t="str">
        <f>IF(C281="","",SUMIFS(入出庫履歴!$G$10:$G$1009,入出庫履歴!$E$10:$E$1009,C281,入出庫履歴!$D$10:$D$1009,"廃棄"))</f>
        <v/>
      </c>
      <c r="O281" s="14" t="str">
        <f>IF(C281="","",SUMIFS(入出庫履歴!$G$10:$G$1009,入出庫履歴!$E$10:$E$1009,C281,入出庫履歴!$D$10:$D$1009,"棚卸調整"))</f>
        <v/>
      </c>
      <c r="P281" s="13" t="str">
        <f t="shared" si="16"/>
        <v/>
      </c>
      <c r="Q281" s="15" t="str">
        <f t="shared" si="17"/>
        <v/>
      </c>
      <c r="R281" s="16"/>
      <c r="S281" s="16"/>
      <c r="T281" s="17" t="str">
        <f t="shared" si="18"/>
        <v/>
      </c>
      <c r="U281" s="13" t="str">
        <f t="shared" si="19"/>
        <v/>
      </c>
      <c r="V281" s="18" t="str">
        <f>IF(C281="","",IF(_xlfn.MINIFS(入出庫履歴!$K$10:$K$1009,入出庫履歴!$E$10:$E$1009,C281,入出庫履歴!$N$10:$N$1009,"&gt;0")=0,"",_xlfn.MINIFS(入出庫履歴!$K$10:$K$1009,入出庫履歴!$E$10:$E$1009,C281,入出庫履歴!$N$10:$N$1009,"&gt;0")))</f>
        <v/>
      </c>
      <c r="W281" s="17" t="str">
        <f ca="1">IF(OR(V281="",P281&lt;=0),"",IF(V281&lt;TODAY(),"期限切れ",IF(V281-TODAY()&lt;=設定!$C$4,"期限間近","")))</f>
        <v/>
      </c>
      <c r="X281" s="19"/>
      <c r="Y281" s="19"/>
      <c r="Z281" t="str">
        <f>IF(OR(T281="要発注",T281="欠品",T281="在庫異常"),COUNTIF($T$10:T281,"要発注")+COUNTIF($T$10:T281,"欠品")+COUNTIF($T$10:T281,"在庫異常"),"")</f>
        <v/>
      </c>
    </row>
    <row r="282" spans="2:26">
      <c r="B282" s="8" t="str">
        <f>IF(C282="","",COUNTA($C$10:C282))</f>
        <v/>
      </c>
      <c r="C282" s="9"/>
      <c r="D282" s="19"/>
      <c r="E282" s="19"/>
      <c r="F282" s="10"/>
      <c r="G282" s="11"/>
      <c r="H282" s="9"/>
      <c r="I282" s="11"/>
      <c r="J282" s="19"/>
      <c r="K282" s="12"/>
      <c r="L282" s="13" t="str">
        <f>IF(C282="","",SUMIFS(入出庫履歴!$G$10:$G$1009,入出庫履歴!$E$10:$E$1009,C282,入出庫履歴!$D$10:$D$1009,"入庫"))</f>
        <v/>
      </c>
      <c r="M282" s="13" t="str">
        <f>IF(C282="","",SUMIFS(入出庫履歴!$G$10:$G$1009,入出庫履歴!$E$10:$E$1009,C282,入出庫履歴!$D$10:$D$1009,"出庫"))</f>
        <v/>
      </c>
      <c r="N282" s="13" t="str">
        <f>IF(C282="","",SUMIFS(入出庫履歴!$G$10:$G$1009,入出庫履歴!$E$10:$E$1009,C282,入出庫履歴!$D$10:$D$1009,"廃棄"))</f>
        <v/>
      </c>
      <c r="O282" s="14" t="str">
        <f>IF(C282="","",SUMIFS(入出庫履歴!$G$10:$G$1009,入出庫履歴!$E$10:$E$1009,C282,入出庫履歴!$D$10:$D$1009,"棚卸調整"))</f>
        <v/>
      </c>
      <c r="P282" s="13" t="str">
        <f t="shared" si="16"/>
        <v/>
      </c>
      <c r="Q282" s="15" t="str">
        <f t="shared" si="17"/>
        <v/>
      </c>
      <c r="R282" s="16"/>
      <c r="S282" s="16"/>
      <c r="T282" s="17" t="str">
        <f t="shared" si="18"/>
        <v/>
      </c>
      <c r="U282" s="13" t="str">
        <f t="shared" si="19"/>
        <v/>
      </c>
      <c r="V282" s="18" t="str">
        <f>IF(C282="","",IF(_xlfn.MINIFS(入出庫履歴!$K$10:$K$1009,入出庫履歴!$E$10:$E$1009,C282,入出庫履歴!$N$10:$N$1009,"&gt;0")=0,"",_xlfn.MINIFS(入出庫履歴!$K$10:$K$1009,入出庫履歴!$E$10:$E$1009,C282,入出庫履歴!$N$10:$N$1009,"&gt;0")))</f>
        <v/>
      </c>
      <c r="W282" s="17" t="str">
        <f ca="1">IF(OR(V282="",P282&lt;=0),"",IF(V282&lt;TODAY(),"期限切れ",IF(V282-TODAY()&lt;=設定!$C$4,"期限間近","")))</f>
        <v/>
      </c>
      <c r="X282" s="19"/>
      <c r="Y282" s="19"/>
      <c r="Z282" t="str">
        <f>IF(OR(T282="要発注",T282="欠品",T282="在庫異常"),COUNTIF($T$10:T282,"要発注")+COUNTIF($T$10:T282,"欠品")+COUNTIF($T$10:T282,"在庫異常"),"")</f>
        <v/>
      </c>
    </row>
    <row r="283" spans="2:26">
      <c r="B283" s="8" t="str">
        <f>IF(C283="","",COUNTA($C$10:C283))</f>
        <v/>
      </c>
      <c r="C283" s="9"/>
      <c r="D283" s="19"/>
      <c r="E283" s="19"/>
      <c r="F283" s="10"/>
      <c r="G283" s="11"/>
      <c r="H283" s="9"/>
      <c r="I283" s="11"/>
      <c r="J283" s="19"/>
      <c r="K283" s="12"/>
      <c r="L283" s="13" t="str">
        <f>IF(C283="","",SUMIFS(入出庫履歴!$G$10:$G$1009,入出庫履歴!$E$10:$E$1009,C283,入出庫履歴!$D$10:$D$1009,"入庫"))</f>
        <v/>
      </c>
      <c r="M283" s="13" t="str">
        <f>IF(C283="","",SUMIFS(入出庫履歴!$G$10:$G$1009,入出庫履歴!$E$10:$E$1009,C283,入出庫履歴!$D$10:$D$1009,"出庫"))</f>
        <v/>
      </c>
      <c r="N283" s="13" t="str">
        <f>IF(C283="","",SUMIFS(入出庫履歴!$G$10:$G$1009,入出庫履歴!$E$10:$E$1009,C283,入出庫履歴!$D$10:$D$1009,"廃棄"))</f>
        <v/>
      </c>
      <c r="O283" s="14" t="str">
        <f>IF(C283="","",SUMIFS(入出庫履歴!$G$10:$G$1009,入出庫履歴!$E$10:$E$1009,C283,入出庫履歴!$D$10:$D$1009,"棚卸調整"))</f>
        <v/>
      </c>
      <c r="P283" s="13" t="str">
        <f t="shared" si="16"/>
        <v/>
      </c>
      <c r="Q283" s="15" t="str">
        <f t="shared" si="17"/>
        <v/>
      </c>
      <c r="R283" s="16"/>
      <c r="S283" s="16"/>
      <c r="T283" s="17" t="str">
        <f t="shared" si="18"/>
        <v/>
      </c>
      <c r="U283" s="13" t="str">
        <f t="shared" si="19"/>
        <v/>
      </c>
      <c r="V283" s="18" t="str">
        <f>IF(C283="","",IF(_xlfn.MINIFS(入出庫履歴!$K$10:$K$1009,入出庫履歴!$E$10:$E$1009,C283,入出庫履歴!$N$10:$N$1009,"&gt;0")=0,"",_xlfn.MINIFS(入出庫履歴!$K$10:$K$1009,入出庫履歴!$E$10:$E$1009,C283,入出庫履歴!$N$10:$N$1009,"&gt;0")))</f>
        <v/>
      </c>
      <c r="W283" s="17" t="str">
        <f ca="1">IF(OR(V283="",P283&lt;=0),"",IF(V283&lt;TODAY(),"期限切れ",IF(V283-TODAY()&lt;=設定!$C$4,"期限間近","")))</f>
        <v/>
      </c>
      <c r="X283" s="19"/>
      <c r="Y283" s="19"/>
      <c r="Z283" t="str">
        <f>IF(OR(T283="要発注",T283="欠品",T283="在庫異常"),COUNTIF($T$10:T283,"要発注")+COUNTIF($T$10:T283,"欠品")+COUNTIF($T$10:T283,"在庫異常"),"")</f>
        <v/>
      </c>
    </row>
    <row r="284" spans="2:26">
      <c r="B284" s="8" t="str">
        <f>IF(C284="","",COUNTA($C$10:C284))</f>
        <v/>
      </c>
      <c r="C284" s="9"/>
      <c r="D284" s="19"/>
      <c r="E284" s="19"/>
      <c r="F284" s="10"/>
      <c r="G284" s="11"/>
      <c r="H284" s="9"/>
      <c r="I284" s="11"/>
      <c r="J284" s="19"/>
      <c r="K284" s="12"/>
      <c r="L284" s="13" t="str">
        <f>IF(C284="","",SUMIFS(入出庫履歴!$G$10:$G$1009,入出庫履歴!$E$10:$E$1009,C284,入出庫履歴!$D$10:$D$1009,"入庫"))</f>
        <v/>
      </c>
      <c r="M284" s="13" t="str">
        <f>IF(C284="","",SUMIFS(入出庫履歴!$G$10:$G$1009,入出庫履歴!$E$10:$E$1009,C284,入出庫履歴!$D$10:$D$1009,"出庫"))</f>
        <v/>
      </c>
      <c r="N284" s="13" t="str">
        <f>IF(C284="","",SUMIFS(入出庫履歴!$G$10:$G$1009,入出庫履歴!$E$10:$E$1009,C284,入出庫履歴!$D$10:$D$1009,"廃棄"))</f>
        <v/>
      </c>
      <c r="O284" s="14" t="str">
        <f>IF(C284="","",SUMIFS(入出庫履歴!$G$10:$G$1009,入出庫履歴!$E$10:$E$1009,C284,入出庫履歴!$D$10:$D$1009,"棚卸調整"))</f>
        <v/>
      </c>
      <c r="P284" s="13" t="str">
        <f t="shared" si="16"/>
        <v/>
      </c>
      <c r="Q284" s="15" t="str">
        <f t="shared" si="17"/>
        <v/>
      </c>
      <c r="R284" s="16"/>
      <c r="S284" s="16"/>
      <c r="T284" s="17" t="str">
        <f t="shared" si="18"/>
        <v/>
      </c>
      <c r="U284" s="13" t="str">
        <f t="shared" si="19"/>
        <v/>
      </c>
      <c r="V284" s="18" t="str">
        <f>IF(C284="","",IF(_xlfn.MINIFS(入出庫履歴!$K$10:$K$1009,入出庫履歴!$E$10:$E$1009,C284,入出庫履歴!$N$10:$N$1009,"&gt;0")=0,"",_xlfn.MINIFS(入出庫履歴!$K$10:$K$1009,入出庫履歴!$E$10:$E$1009,C284,入出庫履歴!$N$10:$N$1009,"&gt;0")))</f>
        <v/>
      </c>
      <c r="W284" s="17" t="str">
        <f ca="1">IF(OR(V284="",P284&lt;=0),"",IF(V284&lt;TODAY(),"期限切れ",IF(V284-TODAY()&lt;=設定!$C$4,"期限間近","")))</f>
        <v/>
      </c>
      <c r="X284" s="19"/>
      <c r="Y284" s="19"/>
      <c r="Z284" t="str">
        <f>IF(OR(T284="要発注",T284="欠品",T284="在庫異常"),COUNTIF($T$10:T284,"要発注")+COUNTIF($T$10:T284,"欠品")+COUNTIF($T$10:T284,"在庫異常"),"")</f>
        <v/>
      </c>
    </row>
    <row r="285" spans="2:26">
      <c r="B285" s="8" t="str">
        <f>IF(C285="","",COUNTA($C$10:C285))</f>
        <v/>
      </c>
      <c r="C285" s="9"/>
      <c r="D285" s="19"/>
      <c r="E285" s="19"/>
      <c r="F285" s="10"/>
      <c r="G285" s="11"/>
      <c r="H285" s="9"/>
      <c r="I285" s="11"/>
      <c r="J285" s="19"/>
      <c r="K285" s="12"/>
      <c r="L285" s="13" t="str">
        <f>IF(C285="","",SUMIFS(入出庫履歴!$G$10:$G$1009,入出庫履歴!$E$10:$E$1009,C285,入出庫履歴!$D$10:$D$1009,"入庫"))</f>
        <v/>
      </c>
      <c r="M285" s="13" t="str">
        <f>IF(C285="","",SUMIFS(入出庫履歴!$G$10:$G$1009,入出庫履歴!$E$10:$E$1009,C285,入出庫履歴!$D$10:$D$1009,"出庫"))</f>
        <v/>
      </c>
      <c r="N285" s="13" t="str">
        <f>IF(C285="","",SUMIFS(入出庫履歴!$G$10:$G$1009,入出庫履歴!$E$10:$E$1009,C285,入出庫履歴!$D$10:$D$1009,"廃棄"))</f>
        <v/>
      </c>
      <c r="O285" s="14" t="str">
        <f>IF(C285="","",SUMIFS(入出庫履歴!$G$10:$G$1009,入出庫履歴!$E$10:$E$1009,C285,入出庫履歴!$D$10:$D$1009,"棚卸調整"))</f>
        <v/>
      </c>
      <c r="P285" s="13" t="str">
        <f t="shared" si="16"/>
        <v/>
      </c>
      <c r="Q285" s="15" t="str">
        <f t="shared" si="17"/>
        <v/>
      </c>
      <c r="R285" s="16"/>
      <c r="S285" s="16"/>
      <c r="T285" s="17" t="str">
        <f t="shared" si="18"/>
        <v/>
      </c>
      <c r="U285" s="13" t="str">
        <f t="shared" si="19"/>
        <v/>
      </c>
      <c r="V285" s="18" t="str">
        <f>IF(C285="","",IF(_xlfn.MINIFS(入出庫履歴!$K$10:$K$1009,入出庫履歴!$E$10:$E$1009,C285,入出庫履歴!$N$10:$N$1009,"&gt;0")=0,"",_xlfn.MINIFS(入出庫履歴!$K$10:$K$1009,入出庫履歴!$E$10:$E$1009,C285,入出庫履歴!$N$10:$N$1009,"&gt;0")))</f>
        <v/>
      </c>
      <c r="W285" s="17" t="str">
        <f ca="1">IF(OR(V285="",P285&lt;=0),"",IF(V285&lt;TODAY(),"期限切れ",IF(V285-TODAY()&lt;=設定!$C$4,"期限間近","")))</f>
        <v/>
      </c>
      <c r="X285" s="19"/>
      <c r="Y285" s="19"/>
      <c r="Z285" t="str">
        <f>IF(OR(T285="要発注",T285="欠品",T285="在庫異常"),COUNTIF($T$10:T285,"要発注")+COUNTIF($T$10:T285,"欠品")+COUNTIF($T$10:T285,"在庫異常"),"")</f>
        <v/>
      </c>
    </row>
    <row r="286" spans="2:26">
      <c r="B286" s="8" t="str">
        <f>IF(C286="","",COUNTA($C$10:C286))</f>
        <v/>
      </c>
      <c r="C286" s="9"/>
      <c r="D286" s="19"/>
      <c r="E286" s="19"/>
      <c r="F286" s="10"/>
      <c r="G286" s="11"/>
      <c r="H286" s="9"/>
      <c r="I286" s="11"/>
      <c r="J286" s="19"/>
      <c r="K286" s="12"/>
      <c r="L286" s="13" t="str">
        <f>IF(C286="","",SUMIFS(入出庫履歴!$G$10:$G$1009,入出庫履歴!$E$10:$E$1009,C286,入出庫履歴!$D$10:$D$1009,"入庫"))</f>
        <v/>
      </c>
      <c r="M286" s="13" t="str">
        <f>IF(C286="","",SUMIFS(入出庫履歴!$G$10:$G$1009,入出庫履歴!$E$10:$E$1009,C286,入出庫履歴!$D$10:$D$1009,"出庫"))</f>
        <v/>
      </c>
      <c r="N286" s="13" t="str">
        <f>IF(C286="","",SUMIFS(入出庫履歴!$G$10:$G$1009,入出庫履歴!$E$10:$E$1009,C286,入出庫履歴!$D$10:$D$1009,"廃棄"))</f>
        <v/>
      </c>
      <c r="O286" s="14" t="str">
        <f>IF(C286="","",SUMIFS(入出庫履歴!$G$10:$G$1009,入出庫履歴!$E$10:$E$1009,C286,入出庫履歴!$D$10:$D$1009,"棚卸調整"))</f>
        <v/>
      </c>
      <c r="P286" s="13" t="str">
        <f t="shared" si="16"/>
        <v/>
      </c>
      <c r="Q286" s="15" t="str">
        <f t="shared" si="17"/>
        <v/>
      </c>
      <c r="R286" s="16"/>
      <c r="S286" s="16"/>
      <c r="T286" s="17" t="str">
        <f t="shared" si="18"/>
        <v/>
      </c>
      <c r="U286" s="13" t="str">
        <f t="shared" si="19"/>
        <v/>
      </c>
      <c r="V286" s="18" t="str">
        <f>IF(C286="","",IF(_xlfn.MINIFS(入出庫履歴!$K$10:$K$1009,入出庫履歴!$E$10:$E$1009,C286,入出庫履歴!$N$10:$N$1009,"&gt;0")=0,"",_xlfn.MINIFS(入出庫履歴!$K$10:$K$1009,入出庫履歴!$E$10:$E$1009,C286,入出庫履歴!$N$10:$N$1009,"&gt;0")))</f>
        <v/>
      </c>
      <c r="W286" s="17" t="str">
        <f ca="1">IF(OR(V286="",P286&lt;=0),"",IF(V286&lt;TODAY(),"期限切れ",IF(V286-TODAY()&lt;=設定!$C$4,"期限間近","")))</f>
        <v/>
      </c>
      <c r="X286" s="19"/>
      <c r="Y286" s="19"/>
      <c r="Z286" t="str">
        <f>IF(OR(T286="要発注",T286="欠品",T286="在庫異常"),COUNTIF($T$10:T286,"要発注")+COUNTIF($T$10:T286,"欠品")+COUNTIF($T$10:T286,"在庫異常"),"")</f>
        <v/>
      </c>
    </row>
    <row r="287" spans="2:26">
      <c r="B287" s="8" t="str">
        <f>IF(C287="","",COUNTA($C$10:C287))</f>
        <v/>
      </c>
      <c r="C287" s="9"/>
      <c r="D287" s="19"/>
      <c r="E287" s="19"/>
      <c r="F287" s="10"/>
      <c r="G287" s="11"/>
      <c r="H287" s="9"/>
      <c r="I287" s="11"/>
      <c r="J287" s="19"/>
      <c r="K287" s="12"/>
      <c r="L287" s="13" t="str">
        <f>IF(C287="","",SUMIFS(入出庫履歴!$G$10:$G$1009,入出庫履歴!$E$10:$E$1009,C287,入出庫履歴!$D$10:$D$1009,"入庫"))</f>
        <v/>
      </c>
      <c r="M287" s="13" t="str">
        <f>IF(C287="","",SUMIFS(入出庫履歴!$G$10:$G$1009,入出庫履歴!$E$10:$E$1009,C287,入出庫履歴!$D$10:$D$1009,"出庫"))</f>
        <v/>
      </c>
      <c r="N287" s="13" t="str">
        <f>IF(C287="","",SUMIFS(入出庫履歴!$G$10:$G$1009,入出庫履歴!$E$10:$E$1009,C287,入出庫履歴!$D$10:$D$1009,"廃棄"))</f>
        <v/>
      </c>
      <c r="O287" s="14" t="str">
        <f>IF(C287="","",SUMIFS(入出庫履歴!$G$10:$G$1009,入出庫履歴!$E$10:$E$1009,C287,入出庫履歴!$D$10:$D$1009,"棚卸調整"))</f>
        <v/>
      </c>
      <c r="P287" s="13" t="str">
        <f t="shared" si="16"/>
        <v/>
      </c>
      <c r="Q287" s="15" t="str">
        <f t="shared" si="17"/>
        <v/>
      </c>
      <c r="R287" s="16"/>
      <c r="S287" s="16"/>
      <c r="T287" s="17" t="str">
        <f t="shared" si="18"/>
        <v/>
      </c>
      <c r="U287" s="13" t="str">
        <f t="shared" si="19"/>
        <v/>
      </c>
      <c r="V287" s="18" t="str">
        <f>IF(C287="","",IF(_xlfn.MINIFS(入出庫履歴!$K$10:$K$1009,入出庫履歴!$E$10:$E$1009,C287,入出庫履歴!$N$10:$N$1009,"&gt;0")=0,"",_xlfn.MINIFS(入出庫履歴!$K$10:$K$1009,入出庫履歴!$E$10:$E$1009,C287,入出庫履歴!$N$10:$N$1009,"&gt;0")))</f>
        <v/>
      </c>
      <c r="W287" s="17" t="str">
        <f ca="1">IF(OR(V287="",P287&lt;=0),"",IF(V287&lt;TODAY(),"期限切れ",IF(V287-TODAY()&lt;=設定!$C$4,"期限間近","")))</f>
        <v/>
      </c>
      <c r="X287" s="19"/>
      <c r="Y287" s="19"/>
      <c r="Z287" t="str">
        <f>IF(OR(T287="要発注",T287="欠品",T287="在庫異常"),COUNTIF($T$10:T287,"要発注")+COUNTIF($T$10:T287,"欠品")+COUNTIF($T$10:T287,"在庫異常"),"")</f>
        <v/>
      </c>
    </row>
    <row r="288" spans="2:26">
      <c r="B288" s="8" t="str">
        <f>IF(C288="","",COUNTA($C$10:C288))</f>
        <v/>
      </c>
      <c r="C288" s="9"/>
      <c r="D288" s="19"/>
      <c r="E288" s="19"/>
      <c r="F288" s="10"/>
      <c r="G288" s="11"/>
      <c r="H288" s="9"/>
      <c r="I288" s="11"/>
      <c r="J288" s="19"/>
      <c r="K288" s="12"/>
      <c r="L288" s="13" t="str">
        <f>IF(C288="","",SUMIFS(入出庫履歴!$G$10:$G$1009,入出庫履歴!$E$10:$E$1009,C288,入出庫履歴!$D$10:$D$1009,"入庫"))</f>
        <v/>
      </c>
      <c r="M288" s="13" t="str">
        <f>IF(C288="","",SUMIFS(入出庫履歴!$G$10:$G$1009,入出庫履歴!$E$10:$E$1009,C288,入出庫履歴!$D$10:$D$1009,"出庫"))</f>
        <v/>
      </c>
      <c r="N288" s="13" t="str">
        <f>IF(C288="","",SUMIFS(入出庫履歴!$G$10:$G$1009,入出庫履歴!$E$10:$E$1009,C288,入出庫履歴!$D$10:$D$1009,"廃棄"))</f>
        <v/>
      </c>
      <c r="O288" s="14" t="str">
        <f>IF(C288="","",SUMIFS(入出庫履歴!$G$10:$G$1009,入出庫履歴!$E$10:$E$1009,C288,入出庫履歴!$D$10:$D$1009,"棚卸調整"))</f>
        <v/>
      </c>
      <c r="P288" s="13" t="str">
        <f t="shared" si="16"/>
        <v/>
      </c>
      <c r="Q288" s="15" t="str">
        <f t="shared" si="17"/>
        <v/>
      </c>
      <c r="R288" s="16"/>
      <c r="S288" s="16"/>
      <c r="T288" s="17" t="str">
        <f t="shared" si="18"/>
        <v/>
      </c>
      <c r="U288" s="13" t="str">
        <f t="shared" si="19"/>
        <v/>
      </c>
      <c r="V288" s="18" t="str">
        <f>IF(C288="","",IF(_xlfn.MINIFS(入出庫履歴!$K$10:$K$1009,入出庫履歴!$E$10:$E$1009,C288,入出庫履歴!$N$10:$N$1009,"&gt;0")=0,"",_xlfn.MINIFS(入出庫履歴!$K$10:$K$1009,入出庫履歴!$E$10:$E$1009,C288,入出庫履歴!$N$10:$N$1009,"&gt;0")))</f>
        <v/>
      </c>
      <c r="W288" s="17" t="str">
        <f ca="1">IF(OR(V288="",P288&lt;=0),"",IF(V288&lt;TODAY(),"期限切れ",IF(V288-TODAY()&lt;=設定!$C$4,"期限間近","")))</f>
        <v/>
      </c>
      <c r="X288" s="19"/>
      <c r="Y288" s="19"/>
      <c r="Z288" t="str">
        <f>IF(OR(T288="要発注",T288="欠品",T288="在庫異常"),COUNTIF($T$10:T288,"要発注")+COUNTIF($T$10:T288,"欠品")+COUNTIF($T$10:T288,"在庫異常"),"")</f>
        <v/>
      </c>
    </row>
    <row r="289" spans="2:26">
      <c r="B289" s="8" t="str">
        <f>IF(C289="","",COUNTA($C$10:C289))</f>
        <v/>
      </c>
      <c r="C289" s="9"/>
      <c r="D289" s="19"/>
      <c r="E289" s="19"/>
      <c r="F289" s="10"/>
      <c r="G289" s="11"/>
      <c r="H289" s="9"/>
      <c r="I289" s="11"/>
      <c r="J289" s="19"/>
      <c r="K289" s="12"/>
      <c r="L289" s="13" t="str">
        <f>IF(C289="","",SUMIFS(入出庫履歴!$G$10:$G$1009,入出庫履歴!$E$10:$E$1009,C289,入出庫履歴!$D$10:$D$1009,"入庫"))</f>
        <v/>
      </c>
      <c r="M289" s="13" t="str">
        <f>IF(C289="","",SUMIFS(入出庫履歴!$G$10:$G$1009,入出庫履歴!$E$10:$E$1009,C289,入出庫履歴!$D$10:$D$1009,"出庫"))</f>
        <v/>
      </c>
      <c r="N289" s="13" t="str">
        <f>IF(C289="","",SUMIFS(入出庫履歴!$G$10:$G$1009,入出庫履歴!$E$10:$E$1009,C289,入出庫履歴!$D$10:$D$1009,"廃棄"))</f>
        <v/>
      </c>
      <c r="O289" s="14" t="str">
        <f>IF(C289="","",SUMIFS(入出庫履歴!$G$10:$G$1009,入出庫履歴!$E$10:$E$1009,C289,入出庫履歴!$D$10:$D$1009,"棚卸調整"))</f>
        <v/>
      </c>
      <c r="P289" s="13" t="str">
        <f t="shared" si="16"/>
        <v/>
      </c>
      <c r="Q289" s="15" t="str">
        <f t="shared" si="17"/>
        <v/>
      </c>
      <c r="R289" s="16"/>
      <c r="S289" s="16"/>
      <c r="T289" s="17" t="str">
        <f t="shared" si="18"/>
        <v/>
      </c>
      <c r="U289" s="13" t="str">
        <f t="shared" si="19"/>
        <v/>
      </c>
      <c r="V289" s="18" t="str">
        <f>IF(C289="","",IF(_xlfn.MINIFS(入出庫履歴!$K$10:$K$1009,入出庫履歴!$E$10:$E$1009,C289,入出庫履歴!$N$10:$N$1009,"&gt;0")=0,"",_xlfn.MINIFS(入出庫履歴!$K$10:$K$1009,入出庫履歴!$E$10:$E$1009,C289,入出庫履歴!$N$10:$N$1009,"&gt;0")))</f>
        <v/>
      </c>
      <c r="W289" s="17" t="str">
        <f ca="1">IF(OR(V289="",P289&lt;=0),"",IF(V289&lt;TODAY(),"期限切れ",IF(V289-TODAY()&lt;=設定!$C$4,"期限間近","")))</f>
        <v/>
      </c>
      <c r="X289" s="19"/>
      <c r="Y289" s="19"/>
      <c r="Z289" t="str">
        <f>IF(OR(T289="要発注",T289="欠品",T289="在庫異常"),COUNTIF($T$10:T289,"要発注")+COUNTIF($T$10:T289,"欠品")+COUNTIF($T$10:T289,"在庫異常"),"")</f>
        <v/>
      </c>
    </row>
    <row r="290" spans="2:26">
      <c r="B290" s="8" t="str">
        <f>IF(C290="","",COUNTA($C$10:C290))</f>
        <v/>
      </c>
      <c r="C290" s="9"/>
      <c r="D290" s="19"/>
      <c r="E290" s="19"/>
      <c r="F290" s="10"/>
      <c r="G290" s="11"/>
      <c r="H290" s="9"/>
      <c r="I290" s="11"/>
      <c r="J290" s="19"/>
      <c r="K290" s="12"/>
      <c r="L290" s="13" t="str">
        <f>IF(C290="","",SUMIFS(入出庫履歴!$G$10:$G$1009,入出庫履歴!$E$10:$E$1009,C290,入出庫履歴!$D$10:$D$1009,"入庫"))</f>
        <v/>
      </c>
      <c r="M290" s="13" t="str">
        <f>IF(C290="","",SUMIFS(入出庫履歴!$G$10:$G$1009,入出庫履歴!$E$10:$E$1009,C290,入出庫履歴!$D$10:$D$1009,"出庫"))</f>
        <v/>
      </c>
      <c r="N290" s="13" t="str">
        <f>IF(C290="","",SUMIFS(入出庫履歴!$G$10:$G$1009,入出庫履歴!$E$10:$E$1009,C290,入出庫履歴!$D$10:$D$1009,"廃棄"))</f>
        <v/>
      </c>
      <c r="O290" s="14" t="str">
        <f>IF(C290="","",SUMIFS(入出庫履歴!$G$10:$G$1009,入出庫履歴!$E$10:$E$1009,C290,入出庫履歴!$D$10:$D$1009,"棚卸調整"))</f>
        <v/>
      </c>
      <c r="P290" s="13" t="str">
        <f t="shared" si="16"/>
        <v/>
      </c>
      <c r="Q290" s="15" t="str">
        <f t="shared" si="17"/>
        <v/>
      </c>
      <c r="R290" s="16"/>
      <c r="S290" s="16"/>
      <c r="T290" s="17" t="str">
        <f t="shared" si="18"/>
        <v/>
      </c>
      <c r="U290" s="13" t="str">
        <f t="shared" si="19"/>
        <v/>
      </c>
      <c r="V290" s="18" t="str">
        <f>IF(C290="","",IF(_xlfn.MINIFS(入出庫履歴!$K$10:$K$1009,入出庫履歴!$E$10:$E$1009,C290,入出庫履歴!$N$10:$N$1009,"&gt;0")=0,"",_xlfn.MINIFS(入出庫履歴!$K$10:$K$1009,入出庫履歴!$E$10:$E$1009,C290,入出庫履歴!$N$10:$N$1009,"&gt;0")))</f>
        <v/>
      </c>
      <c r="W290" s="17" t="str">
        <f ca="1">IF(OR(V290="",P290&lt;=0),"",IF(V290&lt;TODAY(),"期限切れ",IF(V290-TODAY()&lt;=設定!$C$4,"期限間近","")))</f>
        <v/>
      </c>
      <c r="X290" s="19"/>
      <c r="Y290" s="19"/>
      <c r="Z290" t="str">
        <f>IF(OR(T290="要発注",T290="欠品",T290="在庫異常"),COUNTIF($T$10:T290,"要発注")+COUNTIF($T$10:T290,"欠品")+COUNTIF($T$10:T290,"在庫異常"),"")</f>
        <v/>
      </c>
    </row>
    <row r="291" spans="2:26">
      <c r="B291" s="8" t="str">
        <f>IF(C291="","",COUNTA($C$10:C291))</f>
        <v/>
      </c>
      <c r="C291" s="9"/>
      <c r="D291" s="19"/>
      <c r="E291" s="19"/>
      <c r="F291" s="10"/>
      <c r="G291" s="11"/>
      <c r="H291" s="9"/>
      <c r="I291" s="11"/>
      <c r="J291" s="19"/>
      <c r="K291" s="12"/>
      <c r="L291" s="13" t="str">
        <f>IF(C291="","",SUMIFS(入出庫履歴!$G$10:$G$1009,入出庫履歴!$E$10:$E$1009,C291,入出庫履歴!$D$10:$D$1009,"入庫"))</f>
        <v/>
      </c>
      <c r="M291" s="13" t="str">
        <f>IF(C291="","",SUMIFS(入出庫履歴!$G$10:$G$1009,入出庫履歴!$E$10:$E$1009,C291,入出庫履歴!$D$10:$D$1009,"出庫"))</f>
        <v/>
      </c>
      <c r="N291" s="13" t="str">
        <f>IF(C291="","",SUMIFS(入出庫履歴!$G$10:$G$1009,入出庫履歴!$E$10:$E$1009,C291,入出庫履歴!$D$10:$D$1009,"廃棄"))</f>
        <v/>
      </c>
      <c r="O291" s="14" t="str">
        <f>IF(C291="","",SUMIFS(入出庫履歴!$G$10:$G$1009,入出庫履歴!$E$10:$E$1009,C291,入出庫履歴!$D$10:$D$1009,"棚卸調整"))</f>
        <v/>
      </c>
      <c r="P291" s="13" t="str">
        <f t="shared" si="16"/>
        <v/>
      </c>
      <c r="Q291" s="15" t="str">
        <f t="shared" si="17"/>
        <v/>
      </c>
      <c r="R291" s="16"/>
      <c r="S291" s="16"/>
      <c r="T291" s="17" t="str">
        <f t="shared" si="18"/>
        <v/>
      </c>
      <c r="U291" s="13" t="str">
        <f t="shared" si="19"/>
        <v/>
      </c>
      <c r="V291" s="18" t="str">
        <f>IF(C291="","",IF(_xlfn.MINIFS(入出庫履歴!$K$10:$K$1009,入出庫履歴!$E$10:$E$1009,C291,入出庫履歴!$N$10:$N$1009,"&gt;0")=0,"",_xlfn.MINIFS(入出庫履歴!$K$10:$K$1009,入出庫履歴!$E$10:$E$1009,C291,入出庫履歴!$N$10:$N$1009,"&gt;0")))</f>
        <v/>
      </c>
      <c r="W291" s="17" t="str">
        <f ca="1">IF(OR(V291="",P291&lt;=0),"",IF(V291&lt;TODAY(),"期限切れ",IF(V291-TODAY()&lt;=設定!$C$4,"期限間近","")))</f>
        <v/>
      </c>
      <c r="X291" s="19"/>
      <c r="Y291" s="19"/>
      <c r="Z291" t="str">
        <f>IF(OR(T291="要発注",T291="欠品",T291="在庫異常"),COUNTIF($T$10:T291,"要発注")+COUNTIF($T$10:T291,"欠品")+COUNTIF($T$10:T291,"在庫異常"),"")</f>
        <v/>
      </c>
    </row>
    <row r="292" spans="2:26">
      <c r="B292" s="8" t="str">
        <f>IF(C292="","",COUNTA($C$10:C292))</f>
        <v/>
      </c>
      <c r="C292" s="9"/>
      <c r="D292" s="19"/>
      <c r="E292" s="19"/>
      <c r="F292" s="10"/>
      <c r="G292" s="11"/>
      <c r="H292" s="9"/>
      <c r="I292" s="11"/>
      <c r="J292" s="19"/>
      <c r="K292" s="12"/>
      <c r="L292" s="13" t="str">
        <f>IF(C292="","",SUMIFS(入出庫履歴!$G$10:$G$1009,入出庫履歴!$E$10:$E$1009,C292,入出庫履歴!$D$10:$D$1009,"入庫"))</f>
        <v/>
      </c>
      <c r="M292" s="13" t="str">
        <f>IF(C292="","",SUMIFS(入出庫履歴!$G$10:$G$1009,入出庫履歴!$E$10:$E$1009,C292,入出庫履歴!$D$10:$D$1009,"出庫"))</f>
        <v/>
      </c>
      <c r="N292" s="13" t="str">
        <f>IF(C292="","",SUMIFS(入出庫履歴!$G$10:$G$1009,入出庫履歴!$E$10:$E$1009,C292,入出庫履歴!$D$10:$D$1009,"廃棄"))</f>
        <v/>
      </c>
      <c r="O292" s="14" t="str">
        <f>IF(C292="","",SUMIFS(入出庫履歴!$G$10:$G$1009,入出庫履歴!$E$10:$E$1009,C292,入出庫履歴!$D$10:$D$1009,"棚卸調整"))</f>
        <v/>
      </c>
      <c r="P292" s="13" t="str">
        <f t="shared" si="16"/>
        <v/>
      </c>
      <c r="Q292" s="15" t="str">
        <f t="shared" si="17"/>
        <v/>
      </c>
      <c r="R292" s="16"/>
      <c r="S292" s="16"/>
      <c r="T292" s="17" t="str">
        <f t="shared" si="18"/>
        <v/>
      </c>
      <c r="U292" s="13" t="str">
        <f t="shared" si="19"/>
        <v/>
      </c>
      <c r="V292" s="18" t="str">
        <f>IF(C292="","",IF(_xlfn.MINIFS(入出庫履歴!$K$10:$K$1009,入出庫履歴!$E$10:$E$1009,C292,入出庫履歴!$N$10:$N$1009,"&gt;0")=0,"",_xlfn.MINIFS(入出庫履歴!$K$10:$K$1009,入出庫履歴!$E$10:$E$1009,C292,入出庫履歴!$N$10:$N$1009,"&gt;0")))</f>
        <v/>
      </c>
      <c r="W292" s="17" t="str">
        <f ca="1">IF(OR(V292="",P292&lt;=0),"",IF(V292&lt;TODAY(),"期限切れ",IF(V292-TODAY()&lt;=設定!$C$4,"期限間近","")))</f>
        <v/>
      </c>
      <c r="X292" s="19"/>
      <c r="Y292" s="19"/>
      <c r="Z292" t="str">
        <f>IF(OR(T292="要発注",T292="欠品",T292="在庫異常"),COUNTIF($T$10:T292,"要発注")+COUNTIF($T$10:T292,"欠品")+COUNTIF($T$10:T292,"在庫異常"),"")</f>
        <v/>
      </c>
    </row>
    <row r="293" spans="2:26">
      <c r="B293" s="8" t="str">
        <f>IF(C293="","",COUNTA($C$10:C293))</f>
        <v/>
      </c>
      <c r="C293" s="9"/>
      <c r="D293" s="19"/>
      <c r="E293" s="19"/>
      <c r="F293" s="10"/>
      <c r="G293" s="11"/>
      <c r="H293" s="9"/>
      <c r="I293" s="11"/>
      <c r="J293" s="19"/>
      <c r="K293" s="12"/>
      <c r="L293" s="13" t="str">
        <f>IF(C293="","",SUMIFS(入出庫履歴!$G$10:$G$1009,入出庫履歴!$E$10:$E$1009,C293,入出庫履歴!$D$10:$D$1009,"入庫"))</f>
        <v/>
      </c>
      <c r="M293" s="13" t="str">
        <f>IF(C293="","",SUMIFS(入出庫履歴!$G$10:$G$1009,入出庫履歴!$E$10:$E$1009,C293,入出庫履歴!$D$10:$D$1009,"出庫"))</f>
        <v/>
      </c>
      <c r="N293" s="13" t="str">
        <f>IF(C293="","",SUMIFS(入出庫履歴!$G$10:$G$1009,入出庫履歴!$E$10:$E$1009,C293,入出庫履歴!$D$10:$D$1009,"廃棄"))</f>
        <v/>
      </c>
      <c r="O293" s="14" t="str">
        <f>IF(C293="","",SUMIFS(入出庫履歴!$G$10:$G$1009,入出庫履歴!$E$10:$E$1009,C293,入出庫履歴!$D$10:$D$1009,"棚卸調整"))</f>
        <v/>
      </c>
      <c r="P293" s="13" t="str">
        <f t="shared" si="16"/>
        <v/>
      </c>
      <c r="Q293" s="15" t="str">
        <f t="shared" si="17"/>
        <v/>
      </c>
      <c r="R293" s="16"/>
      <c r="S293" s="16"/>
      <c r="T293" s="17" t="str">
        <f t="shared" si="18"/>
        <v/>
      </c>
      <c r="U293" s="13" t="str">
        <f t="shared" si="19"/>
        <v/>
      </c>
      <c r="V293" s="18" t="str">
        <f>IF(C293="","",IF(_xlfn.MINIFS(入出庫履歴!$K$10:$K$1009,入出庫履歴!$E$10:$E$1009,C293,入出庫履歴!$N$10:$N$1009,"&gt;0")=0,"",_xlfn.MINIFS(入出庫履歴!$K$10:$K$1009,入出庫履歴!$E$10:$E$1009,C293,入出庫履歴!$N$10:$N$1009,"&gt;0")))</f>
        <v/>
      </c>
      <c r="W293" s="17" t="str">
        <f ca="1">IF(OR(V293="",P293&lt;=0),"",IF(V293&lt;TODAY(),"期限切れ",IF(V293-TODAY()&lt;=設定!$C$4,"期限間近","")))</f>
        <v/>
      </c>
      <c r="X293" s="19"/>
      <c r="Y293" s="19"/>
      <c r="Z293" t="str">
        <f>IF(OR(T293="要発注",T293="欠品",T293="在庫異常"),COUNTIF($T$10:T293,"要発注")+COUNTIF($T$10:T293,"欠品")+COUNTIF($T$10:T293,"在庫異常"),"")</f>
        <v/>
      </c>
    </row>
    <row r="294" spans="2:26">
      <c r="B294" s="8" t="str">
        <f>IF(C294="","",COUNTA($C$10:C294))</f>
        <v/>
      </c>
      <c r="C294" s="9"/>
      <c r="D294" s="19"/>
      <c r="E294" s="19"/>
      <c r="F294" s="10"/>
      <c r="G294" s="11"/>
      <c r="H294" s="9"/>
      <c r="I294" s="11"/>
      <c r="J294" s="19"/>
      <c r="K294" s="12"/>
      <c r="L294" s="13" t="str">
        <f>IF(C294="","",SUMIFS(入出庫履歴!$G$10:$G$1009,入出庫履歴!$E$10:$E$1009,C294,入出庫履歴!$D$10:$D$1009,"入庫"))</f>
        <v/>
      </c>
      <c r="M294" s="13" t="str">
        <f>IF(C294="","",SUMIFS(入出庫履歴!$G$10:$G$1009,入出庫履歴!$E$10:$E$1009,C294,入出庫履歴!$D$10:$D$1009,"出庫"))</f>
        <v/>
      </c>
      <c r="N294" s="13" t="str">
        <f>IF(C294="","",SUMIFS(入出庫履歴!$G$10:$G$1009,入出庫履歴!$E$10:$E$1009,C294,入出庫履歴!$D$10:$D$1009,"廃棄"))</f>
        <v/>
      </c>
      <c r="O294" s="14" t="str">
        <f>IF(C294="","",SUMIFS(入出庫履歴!$G$10:$G$1009,入出庫履歴!$E$10:$E$1009,C294,入出庫履歴!$D$10:$D$1009,"棚卸調整"))</f>
        <v/>
      </c>
      <c r="P294" s="13" t="str">
        <f t="shared" si="16"/>
        <v/>
      </c>
      <c r="Q294" s="15" t="str">
        <f t="shared" si="17"/>
        <v/>
      </c>
      <c r="R294" s="16"/>
      <c r="S294" s="16"/>
      <c r="T294" s="17" t="str">
        <f t="shared" si="18"/>
        <v/>
      </c>
      <c r="U294" s="13" t="str">
        <f t="shared" si="19"/>
        <v/>
      </c>
      <c r="V294" s="18" t="str">
        <f>IF(C294="","",IF(_xlfn.MINIFS(入出庫履歴!$K$10:$K$1009,入出庫履歴!$E$10:$E$1009,C294,入出庫履歴!$N$10:$N$1009,"&gt;0")=0,"",_xlfn.MINIFS(入出庫履歴!$K$10:$K$1009,入出庫履歴!$E$10:$E$1009,C294,入出庫履歴!$N$10:$N$1009,"&gt;0")))</f>
        <v/>
      </c>
      <c r="W294" s="17" t="str">
        <f ca="1">IF(OR(V294="",P294&lt;=0),"",IF(V294&lt;TODAY(),"期限切れ",IF(V294-TODAY()&lt;=設定!$C$4,"期限間近","")))</f>
        <v/>
      </c>
      <c r="X294" s="19"/>
      <c r="Y294" s="19"/>
      <c r="Z294" t="str">
        <f>IF(OR(T294="要発注",T294="欠品",T294="在庫異常"),COUNTIF($T$10:T294,"要発注")+COUNTIF($T$10:T294,"欠品")+COUNTIF($T$10:T294,"在庫異常"),"")</f>
        <v/>
      </c>
    </row>
    <row r="295" spans="2:26">
      <c r="B295" s="8" t="str">
        <f>IF(C295="","",COUNTA($C$10:C295))</f>
        <v/>
      </c>
      <c r="C295" s="9"/>
      <c r="D295" s="19"/>
      <c r="E295" s="19"/>
      <c r="F295" s="10"/>
      <c r="G295" s="11"/>
      <c r="H295" s="9"/>
      <c r="I295" s="11"/>
      <c r="J295" s="19"/>
      <c r="K295" s="12"/>
      <c r="L295" s="13" t="str">
        <f>IF(C295="","",SUMIFS(入出庫履歴!$G$10:$G$1009,入出庫履歴!$E$10:$E$1009,C295,入出庫履歴!$D$10:$D$1009,"入庫"))</f>
        <v/>
      </c>
      <c r="M295" s="13" t="str">
        <f>IF(C295="","",SUMIFS(入出庫履歴!$G$10:$G$1009,入出庫履歴!$E$10:$E$1009,C295,入出庫履歴!$D$10:$D$1009,"出庫"))</f>
        <v/>
      </c>
      <c r="N295" s="13" t="str">
        <f>IF(C295="","",SUMIFS(入出庫履歴!$G$10:$G$1009,入出庫履歴!$E$10:$E$1009,C295,入出庫履歴!$D$10:$D$1009,"廃棄"))</f>
        <v/>
      </c>
      <c r="O295" s="14" t="str">
        <f>IF(C295="","",SUMIFS(入出庫履歴!$G$10:$G$1009,入出庫履歴!$E$10:$E$1009,C295,入出庫履歴!$D$10:$D$1009,"棚卸調整"))</f>
        <v/>
      </c>
      <c r="P295" s="13" t="str">
        <f t="shared" si="16"/>
        <v/>
      </c>
      <c r="Q295" s="15" t="str">
        <f t="shared" si="17"/>
        <v/>
      </c>
      <c r="R295" s="16"/>
      <c r="S295" s="16"/>
      <c r="T295" s="17" t="str">
        <f t="shared" si="18"/>
        <v/>
      </c>
      <c r="U295" s="13" t="str">
        <f t="shared" si="19"/>
        <v/>
      </c>
      <c r="V295" s="18" t="str">
        <f>IF(C295="","",IF(_xlfn.MINIFS(入出庫履歴!$K$10:$K$1009,入出庫履歴!$E$10:$E$1009,C295,入出庫履歴!$N$10:$N$1009,"&gt;0")=0,"",_xlfn.MINIFS(入出庫履歴!$K$10:$K$1009,入出庫履歴!$E$10:$E$1009,C295,入出庫履歴!$N$10:$N$1009,"&gt;0")))</f>
        <v/>
      </c>
      <c r="W295" s="17" t="str">
        <f ca="1">IF(OR(V295="",P295&lt;=0),"",IF(V295&lt;TODAY(),"期限切れ",IF(V295-TODAY()&lt;=設定!$C$4,"期限間近","")))</f>
        <v/>
      </c>
      <c r="X295" s="19"/>
      <c r="Y295" s="19"/>
      <c r="Z295" t="str">
        <f>IF(OR(T295="要発注",T295="欠品",T295="在庫異常"),COUNTIF($T$10:T295,"要発注")+COUNTIF($T$10:T295,"欠品")+COUNTIF($T$10:T295,"在庫異常"),"")</f>
        <v/>
      </c>
    </row>
    <row r="296" spans="2:26">
      <c r="B296" s="8" t="str">
        <f>IF(C296="","",COUNTA($C$10:C296))</f>
        <v/>
      </c>
      <c r="C296" s="9"/>
      <c r="D296" s="19"/>
      <c r="E296" s="19"/>
      <c r="F296" s="10"/>
      <c r="G296" s="11"/>
      <c r="H296" s="9"/>
      <c r="I296" s="11"/>
      <c r="J296" s="19"/>
      <c r="K296" s="12"/>
      <c r="L296" s="13" t="str">
        <f>IF(C296="","",SUMIFS(入出庫履歴!$G$10:$G$1009,入出庫履歴!$E$10:$E$1009,C296,入出庫履歴!$D$10:$D$1009,"入庫"))</f>
        <v/>
      </c>
      <c r="M296" s="13" t="str">
        <f>IF(C296="","",SUMIFS(入出庫履歴!$G$10:$G$1009,入出庫履歴!$E$10:$E$1009,C296,入出庫履歴!$D$10:$D$1009,"出庫"))</f>
        <v/>
      </c>
      <c r="N296" s="13" t="str">
        <f>IF(C296="","",SUMIFS(入出庫履歴!$G$10:$G$1009,入出庫履歴!$E$10:$E$1009,C296,入出庫履歴!$D$10:$D$1009,"廃棄"))</f>
        <v/>
      </c>
      <c r="O296" s="14" t="str">
        <f>IF(C296="","",SUMIFS(入出庫履歴!$G$10:$G$1009,入出庫履歴!$E$10:$E$1009,C296,入出庫履歴!$D$10:$D$1009,"棚卸調整"))</f>
        <v/>
      </c>
      <c r="P296" s="13" t="str">
        <f t="shared" si="16"/>
        <v/>
      </c>
      <c r="Q296" s="15" t="str">
        <f t="shared" si="17"/>
        <v/>
      </c>
      <c r="R296" s="16"/>
      <c r="S296" s="16"/>
      <c r="T296" s="17" t="str">
        <f t="shared" si="18"/>
        <v/>
      </c>
      <c r="U296" s="13" t="str">
        <f t="shared" si="19"/>
        <v/>
      </c>
      <c r="V296" s="18" t="str">
        <f>IF(C296="","",IF(_xlfn.MINIFS(入出庫履歴!$K$10:$K$1009,入出庫履歴!$E$10:$E$1009,C296,入出庫履歴!$N$10:$N$1009,"&gt;0")=0,"",_xlfn.MINIFS(入出庫履歴!$K$10:$K$1009,入出庫履歴!$E$10:$E$1009,C296,入出庫履歴!$N$10:$N$1009,"&gt;0")))</f>
        <v/>
      </c>
      <c r="W296" s="17" t="str">
        <f ca="1">IF(OR(V296="",P296&lt;=0),"",IF(V296&lt;TODAY(),"期限切れ",IF(V296-TODAY()&lt;=設定!$C$4,"期限間近","")))</f>
        <v/>
      </c>
      <c r="X296" s="19"/>
      <c r="Y296" s="19"/>
      <c r="Z296" t="str">
        <f>IF(OR(T296="要発注",T296="欠品",T296="在庫異常"),COUNTIF($T$10:T296,"要発注")+COUNTIF($T$10:T296,"欠品")+COUNTIF($T$10:T296,"在庫異常"),"")</f>
        <v/>
      </c>
    </row>
    <row r="297" spans="2:26">
      <c r="B297" s="8" t="str">
        <f>IF(C297="","",COUNTA($C$10:C297))</f>
        <v/>
      </c>
      <c r="C297" s="9"/>
      <c r="D297" s="19"/>
      <c r="E297" s="19"/>
      <c r="F297" s="10"/>
      <c r="G297" s="11"/>
      <c r="H297" s="9"/>
      <c r="I297" s="11"/>
      <c r="J297" s="19"/>
      <c r="K297" s="12"/>
      <c r="L297" s="13" t="str">
        <f>IF(C297="","",SUMIFS(入出庫履歴!$G$10:$G$1009,入出庫履歴!$E$10:$E$1009,C297,入出庫履歴!$D$10:$D$1009,"入庫"))</f>
        <v/>
      </c>
      <c r="M297" s="13" t="str">
        <f>IF(C297="","",SUMIFS(入出庫履歴!$G$10:$G$1009,入出庫履歴!$E$10:$E$1009,C297,入出庫履歴!$D$10:$D$1009,"出庫"))</f>
        <v/>
      </c>
      <c r="N297" s="13" t="str">
        <f>IF(C297="","",SUMIFS(入出庫履歴!$G$10:$G$1009,入出庫履歴!$E$10:$E$1009,C297,入出庫履歴!$D$10:$D$1009,"廃棄"))</f>
        <v/>
      </c>
      <c r="O297" s="14" t="str">
        <f>IF(C297="","",SUMIFS(入出庫履歴!$G$10:$G$1009,入出庫履歴!$E$10:$E$1009,C297,入出庫履歴!$D$10:$D$1009,"棚卸調整"))</f>
        <v/>
      </c>
      <c r="P297" s="13" t="str">
        <f t="shared" si="16"/>
        <v/>
      </c>
      <c r="Q297" s="15" t="str">
        <f t="shared" si="17"/>
        <v/>
      </c>
      <c r="R297" s="16"/>
      <c r="S297" s="16"/>
      <c r="T297" s="17" t="str">
        <f t="shared" si="18"/>
        <v/>
      </c>
      <c r="U297" s="13" t="str">
        <f t="shared" si="19"/>
        <v/>
      </c>
      <c r="V297" s="18" t="str">
        <f>IF(C297="","",IF(_xlfn.MINIFS(入出庫履歴!$K$10:$K$1009,入出庫履歴!$E$10:$E$1009,C297,入出庫履歴!$N$10:$N$1009,"&gt;0")=0,"",_xlfn.MINIFS(入出庫履歴!$K$10:$K$1009,入出庫履歴!$E$10:$E$1009,C297,入出庫履歴!$N$10:$N$1009,"&gt;0")))</f>
        <v/>
      </c>
      <c r="W297" s="17" t="str">
        <f ca="1">IF(OR(V297="",P297&lt;=0),"",IF(V297&lt;TODAY(),"期限切れ",IF(V297-TODAY()&lt;=設定!$C$4,"期限間近","")))</f>
        <v/>
      </c>
      <c r="X297" s="19"/>
      <c r="Y297" s="19"/>
      <c r="Z297" t="str">
        <f>IF(OR(T297="要発注",T297="欠品",T297="在庫異常"),COUNTIF($T$10:T297,"要発注")+COUNTIF($T$10:T297,"欠品")+COUNTIF($T$10:T297,"在庫異常"),"")</f>
        <v/>
      </c>
    </row>
    <row r="298" spans="2:26">
      <c r="B298" s="8" t="str">
        <f>IF(C298="","",COUNTA($C$10:C298))</f>
        <v/>
      </c>
      <c r="C298" s="9"/>
      <c r="D298" s="19"/>
      <c r="E298" s="19"/>
      <c r="F298" s="10"/>
      <c r="G298" s="11"/>
      <c r="H298" s="9"/>
      <c r="I298" s="11"/>
      <c r="J298" s="19"/>
      <c r="K298" s="12"/>
      <c r="L298" s="13" t="str">
        <f>IF(C298="","",SUMIFS(入出庫履歴!$G$10:$G$1009,入出庫履歴!$E$10:$E$1009,C298,入出庫履歴!$D$10:$D$1009,"入庫"))</f>
        <v/>
      </c>
      <c r="M298" s="13" t="str">
        <f>IF(C298="","",SUMIFS(入出庫履歴!$G$10:$G$1009,入出庫履歴!$E$10:$E$1009,C298,入出庫履歴!$D$10:$D$1009,"出庫"))</f>
        <v/>
      </c>
      <c r="N298" s="13" t="str">
        <f>IF(C298="","",SUMIFS(入出庫履歴!$G$10:$G$1009,入出庫履歴!$E$10:$E$1009,C298,入出庫履歴!$D$10:$D$1009,"廃棄"))</f>
        <v/>
      </c>
      <c r="O298" s="14" t="str">
        <f>IF(C298="","",SUMIFS(入出庫履歴!$G$10:$G$1009,入出庫履歴!$E$10:$E$1009,C298,入出庫履歴!$D$10:$D$1009,"棚卸調整"))</f>
        <v/>
      </c>
      <c r="P298" s="13" t="str">
        <f t="shared" si="16"/>
        <v/>
      </c>
      <c r="Q298" s="15" t="str">
        <f t="shared" si="17"/>
        <v/>
      </c>
      <c r="R298" s="16"/>
      <c r="S298" s="16"/>
      <c r="T298" s="17" t="str">
        <f t="shared" si="18"/>
        <v/>
      </c>
      <c r="U298" s="13" t="str">
        <f t="shared" si="19"/>
        <v/>
      </c>
      <c r="V298" s="18" t="str">
        <f>IF(C298="","",IF(_xlfn.MINIFS(入出庫履歴!$K$10:$K$1009,入出庫履歴!$E$10:$E$1009,C298,入出庫履歴!$N$10:$N$1009,"&gt;0")=0,"",_xlfn.MINIFS(入出庫履歴!$K$10:$K$1009,入出庫履歴!$E$10:$E$1009,C298,入出庫履歴!$N$10:$N$1009,"&gt;0")))</f>
        <v/>
      </c>
      <c r="W298" s="17" t="str">
        <f ca="1">IF(OR(V298="",P298&lt;=0),"",IF(V298&lt;TODAY(),"期限切れ",IF(V298-TODAY()&lt;=設定!$C$4,"期限間近","")))</f>
        <v/>
      </c>
      <c r="X298" s="19"/>
      <c r="Y298" s="19"/>
      <c r="Z298" t="str">
        <f>IF(OR(T298="要発注",T298="欠品",T298="在庫異常"),COUNTIF($T$10:T298,"要発注")+COUNTIF($T$10:T298,"欠品")+COUNTIF($T$10:T298,"在庫異常"),"")</f>
        <v/>
      </c>
    </row>
    <row r="299" spans="2:26">
      <c r="B299" s="8" t="str">
        <f>IF(C299="","",COUNTA($C$10:C299))</f>
        <v/>
      </c>
      <c r="C299" s="9"/>
      <c r="D299" s="19"/>
      <c r="E299" s="19"/>
      <c r="F299" s="10"/>
      <c r="G299" s="11"/>
      <c r="H299" s="9"/>
      <c r="I299" s="11"/>
      <c r="J299" s="19"/>
      <c r="K299" s="12"/>
      <c r="L299" s="13" t="str">
        <f>IF(C299="","",SUMIFS(入出庫履歴!$G$10:$G$1009,入出庫履歴!$E$10:$E$1009,C299,入出庫履歴!$D$10:$D$1009,"入庫"))</f>
        <v/>
      </c>
      <c r="M299" s="13" t="str">
        <f>IF(C299="","",SUMIFS(入出庫履歴!$G$10:$G$1009,入出庫履歴!$E$10:$E$1009,C299,入出庫履歴!$D$10:$D$1009,"出庫"))</f>
        <v/>
      </c>
      <c r="N299" s="13" t="str">
        <f>IF(C299="","",SUMIFS(入出庫履歴!$G$10:$G$1009,入出庫履歴!$E$10:$E$1009,C299,入出庫履歴!$D$10:$D$1009,"廃棄"))</f>
        <v/>
      </c>
      <c r="O299" s="14" t="str">
        <f>IF(C299="","",SUMIFS(入出庫履歴!$G$10:$G$1009,入出庫履歴!$E$10:$E$1009,C299,入出庫履歴!$D$10:$D$1009,"棚卸調整"))</f>
        <v/>
      </c>
      <c r="P299" s="13" t="str">
        <f t="shared" si="16"/>
        <v/>
      </c>
      <c r="Q299" s="15" t="str">
        <f t="shared" si="17"/>
        <v/>
      </c>
      <c r="R299" s="16"/>
      <c r="S299" s="16"/>
      <c r="T299" s="17" t="str">
        <f t="shared" si="18"/>
        <v/>
      </c>
      <c r="U299" s="13" t="str">
        <f t="shared" si="19"/>
        <v/>
      </c>
      <c r="V299" s="18" t="str">
        <f>IF(C299="","",IF(_xlfn.MINIFS(入出庫履歴!$K$10:$K$1009,入出庫履歴!$E$10:$E$1009,C299,入出庫履歴!$N$10:$N$1009,"&gt;0")=0,"",_xlfn.MINIFS(入出庫履歴!$K$10:$K$1009,入出庫履歴!$E$10:$E$1009,C299,入出庫履歴!$N$10:$N$1009,"&gt;0")))</f>
        <v/>
      </c>
      <c r="W299" s="17" t="str">
        <f ca="1">IF(OR(V299="",P299&lt;=0),"",IF(V299&lt;TODAY(),"期限切れ",IF(V299-TODAY()&lt;=設定!$C$4,"期限間近","")))</f>
        <v/>
      </c>
      <c r="X299" s="19"/>
      <c r="Y299" s="19"/>
      <c r="Z299" t="str">
        <f>IF(OR(T299="要発注",T299="欠品",T299="在庫異常"),COUNTIF($T$10:T299,"要発注")+COUNTIF($T$10:T299,"欠品")+COUNTIF($T$10:T299,"在庫異常"),"")</f>
        <v/>
      </c>
    </row>
    <row r="300" spans="2:26">
      <c r="B300" s="8" t="str">
        <f>IF(C300="","",COUNTA($C$10:C300))</f>
        <v/>
      </c>
      <c r="C300" s="9"/>
      <c r="D300" s="19"/>
      <c r="E300" s="19"/>
      <c r="F300" s="10"/>
      <c r="G300" s="11"/>
      <c r="H300" s="9"/>
      <c r="I300" s="11"/>
      <c r="J300" s="19"/>
      <c r="K300" s="12"/>
      <c r="L300" s="13" t="str">
        <f>IF(C300="","",SUMIFS(入出庫履歴!$G$10:$G$1009,入出庫履歴!$E$10:$E$1009,C300,入出庫履歴!$D$10:$D$1009,"入庫"))</f>
        <v/>
      </c>
      <c r="M300" s="13" t="str">
        <f>IF(C300="","",SUMIFS(入出庫履歴!$G$10:$G$1009,入出庫履歴!$E$10:$E$1009,C300,入出庫履歴!$D$10:$D$1009,"出庫"))</f>
        <v/>
      </c>
      <c r="N300" s="13" t="str">
        <f>IF(C300="","",SUMIFS(入出庫履歴!$G$10:$G$1009,入出庫履歴!$E$10:$E$1009,C300,入出庫履歴!$D$10:$D$1009,"廃棄"))</f>
        <v/>
      </c>
      <c r="O300" s="14" t="str">
        <f>IF(C300="","",SUMIFS(入出庫履歴!$G$10:$G$1009,入出庫履歴!$E$10:$E$1009,C300,入出庫履歴!$D$10:$D$1009,"棚卸調整"))</f>
        <v/>
      </c>
      <c r="P300" s="13" t="str">
        <f t="shared" si="16"/>
        <v/>
      </c>
      <c r="Q300" s="15" t="str">
        <f t="shared" si="17"/>
        <v/>
      </c>
      <c r="R300" s="16"/>
      <c r="S300" s="16"/>
      <c r="T300" s="17" t="str">
        <f t="shared" si="18"/>
        <v/>
      </c>
      <c r="U300" s="13" t="str">
        <f t="shared" si="19"/>
        <v/>
      </c>
      <c r="V300" s="18" t="str">
        <f>IF(C300="","",IF(_xlfn.MINIFS(入出庫履歴!$K$10:$K$1009,入出庫履歴!$E$10:$E$1009,C300,入出庫履歴!$N$10:$N$1009,"&gt;0")=0,"",_xlfn.MINIFS(入出庫履歴!$K$10:$K$1009,入出庫履歴!$E$10:$E$1009,C300,入出庫履歴!$N$10:$N$1009,"&gt;0")))</f>
        <v/>
      </c>
      <c r="W300" s="17" t="str">
        <f ca="1">IF(OR(V300="",P300&lt;=0),"",IF(V300&lt;TODAY(),"期限切れ",IF(V300-TODAY()&lt;=設定!$C$4,"期限間近","")))</f>
        <v/>
      </c>
      <c r="X300" s="19"/>
      <c r="Y300" s="19"/>
      <c r="Z300" t="str">
        <f>IF(OR(T300="要発注",T300="欠品",T300="在庫異常"),COUNTIF($T$10:T300,"要発注")+COUNTIF($T$10:T300,"欠品")+COUNTIF($T$10:T300,"在庫異常"),"")</f>
        <v/>
      </c>
    </row>
    <row r="301" spans="2:26">
      <c r="B301" s="8" t="str">
        <f>IF(C301="","",COUNTA($C$10:C301))</f>
        <v/>
      </c>
      <c r="C301" s="9"/>
      <c r="D301" s="19"/>
      <c r="E301" s="19"/>
      <c r="F301" s="10"/>
      <c r="G301" s="11"/>
      <c r="H301" s="9"/>
      <c r="I301" s="11"/>
      <c r="J301" s="19"/>
      <c r="K301" s="12"/>
      <c r="L301" s="13" t="str">
        <f>IF(C301="","",SUMIFS(入出庫履歴!$G$10:$G$1009,入出庫履歴!$E$10:$E$1009,C301,入出庫履歴!$D$10:$D$1009,"入庫"))</f>
        <v/>
      </c>
      <c r="M301" s="13" t="str">
        <f>IF(C301="","",SUMIFS(入出庫履歴!$G$10:$G$1009,入出庫履歴!$E$10:$E$1009,C301,入出庫履歴!$D$10:$D$1009,"出庫"))</f>
        <v/>
      </c>
      <c r="N301" s="13" t="str">
        <f>IF(C301="","",SUMIFS(入出庫履歴!$G$10:$G$1009,入出庫履歴!$E$10:$E$1009,C301,入出庫履歴!$D$10:$D$1009,"廃棄"))</f>
        <v/>
      </c>
      <c r="O301" s="14" t="str">
        <f>IF(C301="","",SUMIFS(入出庫履歴!$G$10:$G$1009,入出庫履歴!$E$10:$E$1009,C301,入出庫履歴!$D$10:$D$1009,"棚卸調整"))</f>
        <v/>
      </c>
      <c r="P301" s="13" t="str">
        <f t="shared" si="16"/>
        <v/>
      </c>
      <c r="Q301" s="15" t="str">
        <f t="shared" si="17"/>
        <v/>
      </c>
      <c r="R301" s="16"/>
      <c r="S301" s="16"/>
      <c r="T301" s="17" t="str">
        <f t="shared" si="18"/>
        <v/>
      </c>
      <c r="U301" s="13" t="str">
        <f t="shared" si="19"/>
        <v/>
      </c>
      <c r="V301" s="18" t="str">
        <f>IF(C301="","",IF(_xlfn.MINIFS(入出庫履歴!$K$10:$K$1009,入出庫履歴!$E$10:$E$1009,C301,入出庫履歴!$N$10:$N$1009,"&gt;0")=0,"",_xlfn.MINIFS(入出庫履歴!$K$10:$K$1009,入出庫履歴!$E$10:$E$1009,C301,入出庫履歴!$N$10:$N$1009,"&gt;0")))</f>
        <v/>
      </c>
      <c r="W301" s="17" t="str">
        <f ca="1">IF(OR(V301="",P301&lt;=0),"",IF(V301&lt;TODAY(),"期限切れ",IF(V301-TODAY()&lt;=設定!$C$4,"期限間近","")))</f>
        <v/>
      </c>
      <c r="X301" s="19"/>
      <c r="Y301" s="19"/>
      <c r="Z301" t="str">
        <f>IF(OR(T301="要発注",T301="欠品",T301="在庫異常"),COUNTIF($T$10:T301,"要発注")+COUNTIF($T$10:T301,"欠品")+COUNTIF($T$10:T301,"在庫異常"),"")</f>
        <v/>
      </c>
    </row>
    <row r="302" spans="2:26">
      <c r="B302" s="8" t="str">
        <f>IF(C302="","",COUNTA($C$10:C302))</f>
        <v/>
      </c>
      <c r="C302" s="9"/>
      <c r="D302" s="19"/>
      <c r="E302" s="19"/>
      <c r="F302" s="10"/>
      <c r="G302" s="11"/>
      <c r="H302" s="9"/>
      <c r="I302" s="11"/>
      <c r="J302" s="19"/>
      <c r="K302" s="12"/>
      <c r="L302" s="13" t="str">
        <f>IF(C302="","",SUMIFS(入出庫履歴!$G$10:$G$1009,入出庫履歴!$E$10:$E$1009,C302,入出庫履歴!$D$10:$D$1009,"入庫"))</f>
        <v/>
      </c>
      <c r="M302" s="13" t="str">
        <f>IF(C302="","",SUMIFS(入出庫履歴!$G$10:$G$1009,入出庫履歴!$E$10:$E$1009,C302,入出庫履歴!$D$10:$D$1009,"出庫"))</f>
        <v/>
      </c>
      <c r="N302" s="13" t="str">
        <f>IF(C302="","",SUMIFS(入出庫履歴!$G$10:$G$1009,入出庫履歴!$E$10:$E$1009,C302,入出庫履歴!$D$10:$D$1009,"廃棄"))</f>
        <v/>
      </c>
      <c r="O302" s="14" t="str">
        <f>IF(C302="","",SUMIFS(入出庫履歴!$G$10:$G$1009,入出庫履歴!$E$10:$E$1009,C302,入出庫履歴!$D$10:$D$1009,"棚卸調整"))</f>
        <v/>
      </c>
      <c r="P302" s="13" t="str">
        <f t="shared" si="16"/>
        <v/>
      </c>
      <c r="Q302" s="15" t="str">
        <f t="shared" si="17"/>
        <v/>
      </c>
      <c r="R302" s="16"/>
      <c r="S302" s="16"/>
      <c r="T302" s="17" t="str">
        <f t="shared" si="18"/>
        <v/>
      </c>
      <c r="U302" s="13" t="str">
        <f t="shared" si="19"/>
        <v/>
      </c>
      <c r="V302" s="18" t="str">
        <f>IF(C302="","",IF(_xlfn.MINIFS(入出庫履歴!$K$10:$K$1009,入出庫履歴!$E$10:$E$1009,C302,入出庫履歴!$N$10:$N$1009,"&gt;0")=0,"",_xlfn.MINIFS(入出庫履歴!$K$10:$K$1009,入出庫履歴!$E$10:$E$1009,C302,入出庫履歴!$N$10:$N$1009,"&gt;0")))</f>
        <v/>
      </c>
      <c r="W302" s="17" t="str">
        <f ca="1">IF(OR(V302="",P302&lt;=0),"",IF(V302&lt;TODAY(),"期限切れ",IF(V302-TODAY()&lt;=設定!$C$4,"期限間近","")))</f>
        <v/>
      </c>
      <c r="X302" s="19"/>
      <c r="Y302" s="19"/>
      <c r="Z302" t="str">
        <f>IF(OR(T302="要発注",T302="欠品",T302="在庫異常"),COUNTIF($T$10:T302,"要発注")+COUNTIF($T$10:T302,"欠品")+COUNTIF($T$10:T302,"在庫異常"),"")</f>
        <v/>
      </c>
    </row>
    <row r="303" spans="2:26">
      <c r="B303" s="8" t="str">
        <f>IF(C303="","",COUNTA($C$10:C303))</f>
        <v/>
      </c>
      <c r="C303" s="9"/>
      <c r="D303" s="19"/>
      <c r="E303" s="19"/>
      <c r="F303" s="10"/>
      <c r="G303" s="11"/>
      <c r="H303" s="9"/>
      <c r="I303" s="11"/>
      <c r="J303" s="19"/>
      <c r="K303" s="12"/>
      <c r="L303" s="13" t="str">
        <f>IF(C303="","",SUMIFS(入出庫履歴!$G$10:$G$1009,入出庫履歴!$E$10:$E$1009,C303,入出庫履歴!$D$10:$D$1009,"入庫"))</f>
        <v/>
      </c>
      <c r="M303" s="13" t="str">
        <f>IF(C303="","",SUMIFS(入出庫履歴!$G$10:$G$1009,入出庫履歴!$E$10:$E$1009,C303,入出庫履歴!$D$10:$D$1009,"出庫"))</f>
        <v/>
      </c>
      <c r="N303" s="13" t="str">
        <f>IF(C303="","",SUMIFS(入出庫履歴!$G$10:$G$1009,入出庫履歴!$E$10:$E$1009,C303,入出庫履歴!$D$10:$D$1009,"廃棄"))</f>
        <v/>
      </c>
      <c r="O303" s="14" t="str">
        <f>IF(C303="","",SUMIFS(入出庫履歴!$G$10:$G$1009,入出庫履歴!$E$10:$E$1009,C303,入出庫履歴!$D$10:$D$1009,"棚卸調整"))</f>
        <v/>
      </c>
      <c r="P303" s="13" t="str">
        <f t="shared" si="16"/>
        <v/>
      </c>
      <c r="Q303" s="15" t="str">
        <f t="shared" si="17"/>
        <v/>
      </c>
      <c r="R303" s="16"/>
      <c r="S303" s="16"/>
      <c r="T303" s="17" t="str">
        <f t="shared" si="18"/>
        <v/>
      </c>
      <c r="U303" s="13" t="str">
        <f t="shared" si="19"/>
        <v/>
      </c>
      <c r="V303" s="18" t="str">
        <f>IF(C303="","",IF(_xlfn.MINIFS(入出庫履歴!$K$10:$K$1009,入出庫履歴!$E$10:$E$1009,C303,入出庫履歴!$N$10:$N$1009,"&gt;0")=0,"",_xlfn.MINIFS(入出庫履歴!$K$10:$K$1009,入出庫履歴!$E$10:$E$1009,C303,入出庫履歴!$N$10:$N$1009,"&gt;0")))</f>
        <v/>
      </c>
      <c r="W303" s="17" t="str">
        <f ca="1">IF(OR(V303="",P303&lt;=0),"",IF(V303&lt;TODAY(),"期限切れ",IF(V303-TODAY()&lt;=設定!$C$4,"期限間近","")))</f>
        <v/>
      </c>
      <c r="X303" s="19"/>
      <c r="Y303" s="19"/>
      <c r="Z303" t="str">
        <f>IF(OR(T303="要発注",T303="欠品",T303="在庫異常"),COUNTIF($T$10:T303,"要発注")+COUNTIF($T$10:T303,"欠品")+COUNTIF($T$10:T303,"在庫異常"),"")</f>
        <v/>
      </c>
    </row>
    <row r="304" spans="2:26">
      <c r="B304" s="8" t="str">
        <f>IF(C304="","",COUNTA($C$10:C304))</f>
        <v/>
      </c>
      <c r="C304" s="9"/>
      <c r="D304" s="19"/>
      <c r="E304" s="19"/>
      <c r="F304" s="10"/>
      <c r="G304" s="11"/>
      <c r="H304" s="9"/>
      <c r="I304" s="11"/>
      <c r="J304" s="19"/>
      <c r="K304" s="12"/>
      <c r="L304" s="13" t="str">
        <f>IF(C304="","",SUMIFS(入出庫履歴!$G$10:$G$1009,入出庫履歴!$E$10:$E$1009,C304,入出庫履歴!$D$10:$D$1009,"入庫"))</f>
        <v/>
      </c>
      <c r="M304" s="13" t="str">
        <f>IF(C304="","",SUMIFS(入出庫履歴!$G$10:$G$1009,入出庫履歴!$E$10:$E$1009,C304,入出庫履歴!$D$10:$D$1009,"出庫"))</f>
        <v/>
      </c>
      <c r="N304" s="13" t="str">
        <f>IF(C304="","",SUMIFS(入出庫履歴!$G$10:$G$1009,入出庫履歴!$E$10:$E$1009,C304,入出庫履歴!$D$10:$D$1009,"廃棄"))</f>
        <v/>
      </c>
      <c r="O304" s="14" t="str">
        <f>IF(C304="","",SUMIFS(入出庫履歴!$G$10:$G$1009,入出庫履歴!$E$10:$E$1009,C304,入出庫履歴!$D$10:$D$1009,"棚卸調整"))</f>
        <v/>
      </c>
      <c r="P304" s="13" t="str">
        <f t="shared" si="16"/>
        <v/>
      </c>
      <c r="Q304" s="15" t="str">
        <f t="shared" si="17"/>
        <v/>
      </c>
      <c r="R304" s="16"/>
      <c r="S304" s="16"/>
      <c r="T304" s="17" t="str">
        <f t="shared" si="18"/>
        <v/>
      </c>
      <c r="U304" s="13" t="str">
        <f t="shared" si="19"/>
        <v/>
      </c>
      <c r="V304" s="18" t="str">
        <f>IF(C304="","",IF(_xlfn.MINIFS(入出庫履歴!$K$10:$K$1009,入出庫履歴!$E$10:$E$1009,C304,入出庫履歴!$N$10:$N$1009,"&gt;0")=0,"",_xlfn.MINIFS(入出庫履歴!$K$10:$K$1009,入出庫履歴!$E$10:$E$1009,C304,入出庫履歴!$N$10:$N$1009,"&gt;0")))</f>
        <v/>
      </c>
      <c r="W304" s="17" t="str">
        <f ca="1">IF(OR(V304="",P304&lt;=0),"",IF(V304&lt;TODAY(),"期限切れ",IF(V304-TODAY()&lt;=設定!$C$4,"期限間近","")))</f>
        <v/>
      </c>
      <c r="X304" s="19"/>
      <c r="Y304" s="19"/>
      <c r="Z304" t="str">
        <f>IF(OR(T304="要発注",T304="欠品",T304="在庫異常"),COUNTIF($T$10:T304,"要発注")+COUNTIF($T$10:T304,"欠品")+COUNTIF($T$10:T304,"在庫異常"),"")</f>
        <v/>
      </c>
    </row>
    <row r="305" spans="2:26">
      <c r="B305" s="8" t="str">
        <f>IF(C305="","",COUNTA($C$10:C305))</f>
        <v/>
      </c>
      <c r="C305" s="9"/>
      <c r="D305" s="19"/>
      <c r="E305" s="19"/>
      <c r="F305" s="10"/>
      <c r="G305" s="11"/>
      <c r="H305" s="9"/>
      <c r="I305" s="11"/>
      <c r="J305" s="19"/>
      <c r="K305" s="12"/>
      <c r="L305" s="13" t="str">
        <f>IF(C305="","",SUMIFS(入出庫履歴!$G$10:$G$1009,入出庫履歴!$E$10:$E$1009,C305,入出庫履歴!$D$10:$D$1009,"入庫"))</f>
        <v/>
      </c>
      <c r="M305" s="13" t="str">
        <f>IF(C305="","",SUMIFS(入出庫履歴!$G$10:$G$1009,入出庫履歴!$E$10:$E$1009,C305,入出庫履歴!$D$10:$D$1009,"出庫"))</f>
        <v/>
      </c>
      <c r="N305" s="13" t="str">
        <f>IF(C305="","",SUMIFS(入出庫履歴!$G$10:$G$1009,入出庫履歴!$E$10:$E$1009,C305,入出庫履歴!$D$10:$D$1009,"廃棄"))</f>
        <v/>
      </c>
      <c r="O305" s="14" t="str">
        <f>IF(C305="","",SUMIFS(入出庫履歴!$G$10:$G$1009,入出庫履歴!$E$10:$E$1009,C305,入出庫履歴!$D$10:$D$1009,"棚卸調整"))</f>
        <v/>
      </c>
      <c r="P305" s="13" t="str">
        <f t="shared" si="16"/>
        <v/>
      </c>
      <c r="Q305" s="15" t="str">
        <f t="shared" si="17"/>
        <v/>
      </c>
      <c r="R305" s="16"/>
      <c r="S305" s="16"/>
      <c r="T305" s="17" t="str">
        <f t="shared" si="18"/>
        <v/>
      </c>
      <c r="U305" s="13" t="str">
        <f t="shared" si="19"/>
        <v/>
      </c>
      <c r="V305" s="18" t="str">
        <f>IF(C305="","",IF(_xlfn.MINIFS(入出庫履歴!$K$10:$K$1009,入出庫履歴!$E$10:$E$1009,C305,入出庫履歴!$N$10:$N$1009,"&gt;0")=0,"",_xlfn.MINIFS(入出庫履歴!$K$10:$K$1009,入出庫履歴!$E$10:$E$1009,C305,入出庫履歴!$N$10:$N$1009,"&gt;0")))</f>
        <v/>
      </c>
      <c r="W305" s="17" t="str">
        <f ca="1">IF(OR(V305="",P305&lt;=0),"",IF(V305&lt;TODAY(),"期限切れ",IF(V305-TODAY()&lt;=設定!$C$4,"期限間近","")))</f>
        <v/>
      </c>
      <c r="X305" s="19"/>
      <c r="Y305" s="19"/>
      <c r="Z305" t="str">
        <f>IF(OR(T305="要発注",T305="欠品",T305="在庫異常"),COUNTIF($T$10:T305,"要発注")+COUNTIF($T$10:T305,"欠品")+COUNTIF($T$10:T305,"在庫異常"),"")</f>
        <v/>
      </c>
    </row>
    <row r="306" spans="2:26">
      <c r="B306" s="8" t="str">
        <f>IF(C306="","",COUNTA($C$10:C306))</f>
        <v/>
      </c>
      <c r="C306" s="9"/>
      <c r="D306" s="19"/>
      <c r="E306" s="19"/>
      <c r="F306" s="10"/>
      <c r="G306" s="11"/>
      <c r="H306" s="9"/>
      <c r="I306" s="11"/>
      <c r="J306" s="19"/>
      <c r="K306" s="12"/>
      <c r="L306" s="13" t="str">
        <f>IF(C306="","",SUMIFS(入出庫履歴!$G$10:$G$1009,入出庫履歴!$E$10:$E$1009,C306,入出庫履歴!$D$10:$D$1009,"入庫"))</f>
        <v/>
      </c>
      <c r="M306" s="13" t="str">
        <f>IF(C306="","",SUMIFS(入出庫履歴!$G$10:$G$1009,入出庫履歴!$E$10:$E$1009,C306,入出庫履歴!$D$10:$D$1009,"出庫"))</f>
        <v/>
      </c>
      <c r="N306" s="13" t="str">
        <f>IF(C306="","",SUMIFS(入出庫履歴!$G$10:$G$1009,入出庫履歴!$E$10:$E$1009,C306,入出庫履歴!$D$10:$D$1009,"廃棄"))</f>
        <v/>
      </c>
      <c r="O306" s="14" t="str">
        <f>IF(C306="","",SUMIFS(入出庫履歴!$G$10:$G$1009,入出庫履歴!$E$10:$E$1009,C306,入出庫履歴!$D$10:$D$1009,"棚卸調整"))</f>
        <v/>
      </c>
      <c r="P306" s="13" t="str">
        <f t="shared" si="16"/>
        <v/>
      </c>
      <c r="Q306" s="15" t="str">
        <f t="shared" si="17"/>
        <v/>
      </c>
      <c r="R306" s="16"/>
      <c r="S306" s="16"/>
      <c r="T306" s="17" t="str">
        <f t="shared" si="18"/>
        <v/>
      </c>
      <c r="U306" s="13" t="str">
        <f t="shared" si="19"/>
        <v/>
      </c>
      <c r="V306" s="18" t="str">
        <f>IF(C306="","",IF(_xlfn.MINIFS(入出庫履歴!$K$10:$K$1009,入出庫履歴!$E$10:$E$1009,C306,入出庫履歴!$N$10:$N$1009,"&gt;0")=0,"",_xlfn.MINIFS(入出庫履歴!$K$10:$K$1009,入出庫履歴!$E$10:$E$1009,C306,入出庫履歴!$N$10:$N$1009,"&gt;0")))</f>
        <v/>
      </c>
      <c r="W306" s="17" t="str">
        <f ca="1">IF(OR(V306="",P306&lt;=0),"",IF(V306&lt;TODAY(),"期限切れ",IF(V306-TODAY()&lt;=設定!$C$4,"期限間近","")))</f>
        <v/>
      </c>
      <c r="X306" s="19"/>
      <c r="Y306" s="19"/>
      <c r="Z306" t="str">
        <f>IF(OR(T306="要発注",T306="欠品",T306="在庫異常"),COUNTIF($T$10:T306,"要発注")+COUNTIF($T$10:T306,"欠品")+COUNTIF($T$10:T306,"在庫異常"),"")</f>
        <v/>
      </c>
    </row>
    <row r="307" spans="2:26">
      <c r="B307" s="8" t="str">
        <f>IF(C307="","",COUNTA($C$10:C307))</f>
        <v/>
      </c>
      <c r="C307" s="9"/>
      <c r="D307" s="19"/>
      <c r="E307" s="19"/>
      <c r="F307" s="10"/>
      <c r="G307" s="11"/>
      <c r="H307" s="9"/>
      <c r="I307" s="11"/>
      <c r="J307" s="19"/>
      <c r="K307" s="12"/>
      <c r="L307" s="13" t="str">
        <f>IF(C307="","",SUMIFS(入出庫履歴!$G$10:$G$1009,入出庫履歴!$E$10:$E$1009,C307,入出庫履歴!$D$10:$D$1009,"入庫"))</f>
        <v/>
      </c>
      <c r="M307" s="13" t="str">
        <f>IF(C307="","",SUMIFS(入出庫履歴!$G$10:$G$1009,入出庫履歴!$E$10:$E$1009,C307,入出庫履歴!$D$10:$D$1009,"出庫"))</f>
        <v/>
      </c>
      <c r="N307" s="13" t="str">
        <f>IF(C307="","",SUMIFS(入出庫履歴!$G$10:$G$1009,入出庫履歴!$E$10:$E$1009,C307,入出庫履歴!$D$10:$D$1009,"廃棄"))</f>
        <v/>
      </c>
      <c r="O307" s="14" t="str">
        <f>IF(C307="","",SUMIFS(入出庫履歴!$G$10:$G$1009,入出庫履歴!$E$10:$E$1009,C307,入出庫履歴!$D$10:$D$1009,"棚卸調整"))</f>
        <v/>
      </c>
      <c r="P307" s="13" t="str">
        <f t="shared" si="16"/>
        <v/>
      </c>
      <c r="Q307" s="15" t="str">
        <f t="shared" si="17"/>
        <v/>
      </c>
      <c r="R307" s="16"/>
      <c r="S307" s="16"/>
      <c r="T307" s="17" t="str">
        <f t="shared" si="18"/>
        <v/>
      </c>
      <c r="U307" s="13" t="str">
        <f t="shared" si="19"/>
        <v/>
      </c>
      <c r="V307" s="18" t="str">
        <f>IF(C307="","",IF(_xlfn.MINIFS(入出庫履歴!$K$10:$K$1009,入出庫履歴!$E$10:$E$1009,C307,入出庫履歴!$N$10:$N$1009,"&gt;0")=0,"",_xlfn.MINIFS(入出庫履歴!$K$10:$K$1009,入出庫履歴!$E$10:$E$1009,C307,入出庫履歴!$N$10:$N$1009,"&gt;0")))</f>
        <v/>
      </c>
      <c r="W307" s="17" t="str">
        <f ca="1">IF(OR(V307="",P307&lt;=0),"",IF(V307&lt;TODAY(),"期限切れ",IF(V307-TODAY()&lt;=設定!$C$4,"期限間近","")))</f>
        <v/>
      </c>
      <c r="X307" s="19"/>
      <c r="Y307" s="19"/>
      <c r="Z307" t="str">
        <f>IF(OR(T307="要発注",T307="欠品",T307="在庫異常"),COUNTIF($T$10:T307,"要発注")+COUNTIF($T$10:T307,"欠品")+COUNTIF($T$10:T307,"在庫異常"),"")</f>
        <v/>
      </c>
    </row>
    <row r="308" spans="2:26">
      <c r="B308" s="8" t="str">
        <f>IF(C308="","",COUNTA($C$10:C308))</f>
        <v/>
      </c>
      <c r="C308" s="9"/>
      <c r="D308" s="19"/>
      <c r="E308" s="19"/>
      <c r="F308" s="10"/>
      <c r="G308" s="11"/>
      <c r="H308" s="9"/>
      <c r="I308" s="11"/>
      <c r="J308" s="19"/>
      <c r="K308" s="12"/>
      <c r="L308" s="13" t="str">
        <f>IF(C308="","",SUMIFS(入出庫履歴!$G$10:$G$1009,入出庫履歴!$E$10:$E$1009,C308,入出庫履歴!$D$10:$D$1009,"入庫"))</f>
        <v/>
      </c>
      <c r="M308" s="13" t="str">
        <f>IF(C308="","",SUMIFS(入出庫履歴!$G$10:$G$1009,入出庫履歴!$E$10:$E$1009,C308,入出庫履歴!$D$10:$D$1009,"出庫"))</f>
        <v/>
      </c>
      <c r="N308" s="13" t="str">
        <f>IF(C308="","",SUMIFS(入出庫履歴!$G$10:$G$1009,入出庫履歴!$E$10:$E$1009,C308,入出庫履歴!$D$10:$D$1009,"廃棄"))</f>
        <v/>
      </c>
      <c r="O308" s="14" t="str">
        <f>IF(C308="","",SUMIFS(入出庫履歴!$G$10:$G$1009,入出庫履歴!$E$10:$E$1009,C308,入出庫履歴!$D$10:$D$1009,"棚卸調整"))</f>
        <v/>
      </c>
      <c r="P308" s="13" t="str">
        <f t="shared" si="16"/>
        <v/>
      </c>
      <c r="Q308" s="15" t="str">
        <f t="shared" si="17"/>
        <v/>
      </c>
      <c r="R308" s="16"/>
      <c r="S308" s="16"/>
      <c r="T308" s="17" t="str">
        <f t="shared" si="18"/>
        <v/>
      </c>
      <c r="U308" s="13" t="str">
        <f t="shared" si="19"/>
        <v/>
      </c>
      <c r="V308" s="18" t="str">
        <f>IF(C308="","",IF(_xlfn.MINIFS(入出庫履歴!$K$10:$K$1009,入出庫履歴!$E$10:$E$1009,C308,入出庫履歴!$N$10:$N$1009,"&gt;0")=0,"",_xlfn.MINIFS(入出庫履歴!$K$10:$K$1009,入出庫履歴!$E$10:$E$1009,C308,入出庫履歴!$N$10:$N$1009,"&gt;0")))</f>
        <v/>
      </c>
      <c r="W308" s="17" t="str">
        <f ca="1">IF(OR(V308="",P308&lt;=0),"",IF(V308&lt;TODAY(),"期限切れ",IF(V308-TODAY()&lt;=設定!$C$4,"期限間近","")))</f>
        <v/>
      </c>
      <c r="X308" s="19"/>
      <c r="Y308" s="19"/>
      <c r="Z308" t="str">
        <f>IF(OR(T308="要発注",T308="欠品",T308="在庫異常"),COUNTIF($T$10:T308,"要発注")+COUNTIF($T$10:T308,"欠品")+COUNTIF($T$10:T308,"在庫異常"),"")</f>
        <v/>
      </c>
    </row>
    <row r="309" spans="2:26">
      <c r="B309" s="8" t="str">
        <f>IF(C309="","",COUNTA($C$10:C309))</f>
        <v/>
      </c>
      <c r="C309" s="9"/>
      <c r="D309" s="19"/>
      <c r="E309" s="19"/>
      <c r="F309" s="10"/>
      <c r="G309" s="11"/>
      <c r="H309" s="9"/>
      <c r="I309" s="11"/>
      <c r="J309" s="19"/>
      <c r="K309" s="12"/>
      <c r="L309" s="13" t="str">
        <f>IF(C309="","",SUMIFS(入出庫履歴!$G$10:$G$1009,入出庫履歴!$E$10:$E$1009,C309,入出庫履歴!$D$10:$D$1009,"入庫"))</f>
        <v/>
      </c>
      <c r="M309" s="13" t="str">
        <f>IF(C309="","",SUMIFS(入出庫履歴!$G$10:$G$1009,入出庫履歴!$E$10:$E$1009,C309,入出庫履歴!$D$10:$D$1009,"出庫"))</f>
        <v/>
      </c>
      <c r="N309" s="13" t="str">
        <f>IF(C309="","",SUMIFS(入出庫履歴!$G$10:$G$1009,入出庫履歴!$E$10:$E$1009,C309,入出庫履歴!$D$10:$D$1009,"廃棄"))</f>
        <v/>
      </c>
      <c r="O309" s="14" t="str">
        <f>IF(C309="","",SUMIFS(入出庫履歴!$G$10:$G$1009,入出庫履歴!$E$10:$E$1009,C309,入出庫履歴!$D$10:$D$1009,"棚卸調整"))</f>
        <v/>
      </c>
      <c r="P309" s="13" t="str">
        <f t="shared" si="16"/>
        <v/>
      </c>
      <c r="Q309" s="15" t="str">
        <f t="shared" si="17"/>
        <v/>
      </c>
      <c r="R309" s="16"/>
      <c r="S309" s="16"/>
      <c r="T309" s="17" t="str">
        <f t="shared" si="18"/>
        <v/>
      </c>
      <c r="U309" s="13" t="str">
        <f t="shared" si="19"/>
        <v/>
      </c>
      <c r="V309" s="18" t="str">
        <f>IF(C309="","",IF(_xlfn.MINIFS(入出庫履歴!$K$10:$K$1009,入出庫履歴!$E$10:$E$1009,C309,入出庫履歴!$N$10:$N$1009,"&gt;0")=0,"",_xlfn.MINIFS(入出庫履歴!$K$10:$K$1009,入出庫履歴!$E$10:$E$1009,C309,入出庫履歴!$N$10:$N$1009,"&gt;0")))</f>
        <v/>
      </c>
      <c r="W309" s="17" t="str">
        <f ca="1">IF(OR(V309="",P309&lt;=0),"",IF(V309&lt;TODAY(),"期限切れ",IF(V309-TODAY()&lt;=設定!$C$4,"期限間近","")))</f>
        <v/>
      </c>
      <c r="X309" s="19"/>
      <c r="Y309" s="19"/>
      <c r="Z309" t="str">
        <f>IF(OR(T309="要発注",T309="欠品",T309="在庫異常"),COUNTIF($T$10:T309,"要発注")+COUNTIF($T$10:T309,"欠品")+COUNTIF($T$10:T309,"在庫異常"),"")</f>
        <v/>
      </c>
    </row>
  </sheetData>
  <autoFilter ref="B9:Y309" xr:uid="{00000000-0009-0000-0000-000000000000}"/>
  <mergeCells count="16">
    <mergeCell ref="B3:E5"/>
    <mergeCell ref="N6:P6"/>
    <mergeCell ref="Q6:R6"/>
    <mergeCell ref="S6:Y7"/>
    <mergeCell ref="B7:D7"/>
    <mergeCell ref="E7:F7"/>
    <mergeCell ref="G7:H7"/>
    <mergeCell ref="I7:J7"/>
    <mergeCell ref="K7:M7"/>
    <mergeCell ref="N7:P7"/>
    <mergeCell ref="Q7:R7"/>
    <mergeCell ref="B6:D6"/>
    <mergeCell ref="E6:F6"/>
    <mergeCell ref="G6:H6"/>
    <mergeCell ref="I6:J6"/>
    <mergeCell ref="K6:M6"/>
  </mergeCells>
  <phoneticPr fontId="17"/>
  <conditionalFormatting sqref="G10:G309">
    <cfRule type="expression" dxfId="21" priority="8">
      <formula>G10="冷凍"</formula>
    </cfRule>
    <cfRule type="expression" dxfId="20" priority="9">
      <formula>G10="冷蔵"</formula>
    </cfRule>
  </conditionalFormatting>
  <conditionalFormatting sqref="T10:T309">
    <cfRule type="expression" dxfId="19" priority="2">
      <formula>T10="在庫異常"</formula>
    </cfRule>
    <cfRule type="expression" dxfId="18" priority="3">
      <formula>T10="欠品"</formula>
    </cfRule>
    <cfRule type="expression" dxfId="17" priority="4">
      <formula>T10="要発注"</formula>
    </cfRule>
    <cfRule type="expression" dxfId="16" priority="5">
      <formula>T10="適正"</formula>
    </cfRule>
  </conditionalFormatting>
  <conditionalFormatting sqref="W10:W309">
    <cfRule type="expression" dxfId="15" priority="6">
      <formula>W10="期限切れ"</formula>
    </cfRule>
    <cfRule type="expression" dxfId="14" priority="7">
      <formula>W10="期限間近"</formula>
    </cfRule>
  </conditionalFormatting>
  <dataValidations count="6">
    <dataValidation type="list" allowBlank="1" sqref="F10:F309" xr:uid="{00000000-0002-0000-0000-000000000000}">
      <formula1>分類リスト</formula1>
      <formula2>0</formula2>
    </dataValidation>
    <dataValidation type="list" allowBlank="1" sqref="G10:G309" xr:uid="{00000000-0002-0000-0000-000001000000}">
      <formula1>保存区分リスト</formula1>
      <formula2>0</formula2>
    </dataValidation>
    <dataValidation type="list" allowBlank="1" sqref="H10:H309" xr:uid="{00000000-0002-0000-0000-000002000000}">
      <formula1>単位リスト</formula1>
      <formula2>0</formula2>
    </dataValidation>
    <dataValidation type="list" allowBlank="1" sqref="I10:I309" xr:uid="{00000000-0002-0000-0000-000003000000}">
      <formula1>保管場所リスト</formula1>
      <formula2>0</formula2>
    </dataValidation>
    <dataValidation type="decimal" operator="greaterThanOrEqual" allowBlank="1" showErrorMessage="1" error="0以上の数値を入力してください" sqref="K10:K309 R10:S309" xr:uid="{00000000-0002-0000-0000-000004000000}">
      <formula1>0</formula1>
      <formula2>0</formula2>
    </dataValidation>
    <dataValidation type="custom" allowBlank="1" showErrorMessage="1" error="この食材コードはすでに登録されています" sqref="C10:C309" xr:uid="{00000000-0002-0000-0000-000005000000}">
      <formula1>COUNTIF($C$10:$C$309,C10)=1</formula1>
      <formula2>0</formula2>
    </dataValidation>
  </dataValidations>
  <hyperlinks>
    <hyperlink ref="A1" r:id="rId1" display="テンプレート倉庫" xr:uid="{846A465B-7ADB-443B-B7C5-8BCE1EFAF67B}"/>
  </hyperlinks>
  <pageMargins left="0.15748031496062992" right="0.15748031496062992" top="0.47244094488188981" bottom="0.23622047244094491" header="0.39370078740157483" footer="0.15748031496062992"/>
  <pageSetup scale="62" fitToHeight="0" orientation="landscape" horizontalDpi="300" verticalDpi="3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I1009"/>
  <sheetViews>
    <sheetView showGridLines="0" zoomScaleNormal="100" workbookViewId="0"/>
  </sheetViews>
  <sheetFormatPr defaultColWidth="8.7109375" defaultRowHeight="15"/>
  <cols>
    <col min="1" max="1" width="2" customWidth="1"/>
    <col min="2" max="2" width="5" customWidth="1"/>
    <col min="3" max="3" width="10.42578125" customWidth="1"/>
    <col min="4" max="4" width="8" customWidth="1"/>
    <col min="5" max="5" width="10" customWidth="1"/>
    <col min="6" max="6" width="16" customWidth="1"/>
    <col min="7" max="7" width="7" customWidth="1"/>
    <col min="8" max="8" width="6" customWidth="1"/>
    <col min="9" max="9" width="8" customWidth="1"/>
    <col min="10" max="10" width="9" customWidth="1"/>
    <col min="11" max="12" width="11" customWidth="1"/>
    <col min="13" max="13" width="12" customWidth="1"/>
    <col min="14" max="15" width="7" customWidth="1"/>
    <col min="16" max="16" width="11" customWidth="1"/>
    <col min="17" max="17" width="7" customWidth="1"/>
    <col min="18" max="19" width="16" customWidth="1"/>
    <col min="21" max="22" width="13" hidden="1" customWidth="1"/>
  </cols>
  <sheetData>
    <row r="1" spans="1:35" s="53" customFormat="1" ht="45" customHeight="1">
      <c r="A1" s="52" t="s">
        <v>181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</row>
    <row r="2" spans="1:35" ht="34.5" customHeight="1">
      <c r="B2" s="49" t="s">
        <v>182</v>
      </c>
    </row>
    <row r="3" spans="1:35" ht="10.5" customHeight="1">
      <c r="B3" s="54" t="s">
        <v>94</v>
      </c>
      <c r="C3" s="54"/>
      <c r="D3" s="54"/>
      <c r="E3" s="54"/>
    </row>
    <row r="4" spans="1:35" ht="10.5" customHeight="1">
      <c r="B4" s="54"/>
      <c r="C4" s="54"/>
      <c r="D4" s="54"/>
      <c r="E4" s="54"/>
    </row>
    <row r="5" spans="1:35" ht="10.5" customHeight="1">
      <c r="B5" s="55"/>
      <c r="C5" s="55"/>
      <c r="D5" s="55"/>
      <c r="E5" s="55"/>
    </row>
    <row r="6" spans="1:35" ht="19.5" customHeight="1">
      <c r="B6" s="5" t="s">
        <v>95</v>
      </c>
      <c r="C6" s="5"/>
      <c r="D6" s="5" t="s">
        <v>96</v>
      </c>
      <c r="E6" s="5"/>
      <c r="F6" s="5" t="s">
        <v>97</v>
      </c>
      <c r="G6" s="5"/>
      <c r="H6" s="5" t="s">
        <v>7</v>
      </c>
      <c r="I6" s="5"/>
      <c r="J6" s="5"/>
      <c r="K6" s="5" t="s">
        <v>98</v>
      </c>
      <c r="L6" s="5"/>
      <c r="M6" s="4"/>
      <c r="N6" s="4"/>
      <c r="O6" s="4"/>
      <c r="P6" s="4"/>
      <c r="Q6" s="4"/>
      <c r="R6" s="4"/>
      <c r="S6" s="4"/>
    </row>
    <row r="7" spans="1:35" ht="30" customHeight="1">
      <c r="B7" s="1">
        <f>COUNT($C$10:$C$1009)</f>
        <v>20</v>
      </c>
      <c r="C7" s="1"/>
      <c r="D7" s="2">
        <f ca="1">SUMIFS($J$10:$J$1009,$D$10:$D$1009,"入庫",$C$10:$C$1009,"&gt;="&amp;EOMONTH(TODAY(),-1)+1,$C$10:$C$1009,"&lt;="&amp;EOMONTH(TODAY(),0))</f>
        <v>56480</v>
      </c>
      <c r="E7" s="2"/>
      <c r="F7" s="2">
        <f ca="1">SUMIFS($J$10:$J$1009,$D$10:$D$1009,"出庫",$C$10:$C$1009,"&gt;="&amp;EOMONTH(TODAY(),-1)+1,$C$10:$C$1009,"&lt;="&amp;EOMONTH(TODAY(),0))</f>
        <v>31538</v>
      </c>
      <c r="G7" s="2"/>
      <c r="H7" s="2">
        <f ca="1">SUMIFS($J$10:$J$1009,$D$10:$D$1009,"廃棄",$C$10:$C$1009,"&gt;="&amp;EOMONTH(TODAY(),-1)+1,$C$10:$C$1009,"&lt;="&amp;EOMONTH(TODAY(),0))</f>
        <v>180</v>
      </c>
      <c r="I7" s="2"/>
      <c r="J7" s="2"/>
      <c r="K7" s="1">
        <f>COUNTIF($P$10:$P$1009,"?*")</f>
        <v>0</v>
      </c>
      <c r="L7" s="1"/>
      <c r="M7" s="4"/>
      <c r="N7" s="4"/>
      <c r="O7" s="4"/>
      <c r="P7" s="4"/>
      <c r="Q7" s="4"/>
      <c r="R7" s="4"/>
      <c r="S7" s="4"/>
    </row>
    <row r="9" spans="1:35" ht="43.5" customHeight="1">
      <c r="B9" s="6" t="s">
        <v>8</v>
      </c>
      <c r="C9" s="7" t="s">
        <v>99</v>
      </c>
      <c r="D9" s="7" t="s">
        <v>100</v>
      </c>
      <c r="E9" s="7" t="s">
        <v>9</v>
      </c>
      <c r="F9" s="7" t="s">
        <v>10</v>
      </c>
      <c r="G9" s="7" t="s">
        <v>101</v>
      </c>
      <c r="H9" s="7" t="s">
        <v>14</v>
      </c>
      <c r="I9" s="7" t="s">
        <v>17</v>
      </c>
      <c r="J9" s="7" t="s">
        <v>102</v>
      </c>
      <c r="K9" s="7" t="s">
        <v>103</v>
      </c>
      <c r="L9" s="7" t="s">
        <v>104</v>
      </c>
      <c r="M9" s="7" t="s">
        <v>105</v>
      </c>
      <c r="N9" s="7" t="s">
        <v>106</v>
      </c>
      <c r="O9" s="7" t="s">
        <v>107</v>
      </c>
      <c r="P9" s="7" t="s">
        <v>108</v>
      </c>
      <c r="Q9" s="7" t="s">
        <v>109</v>
      </c>
      <c r="R9" s="7" t="s">
        <v>110</v>
      </c>
      <c r="S9" s="7" t="s">
        <v>31</v>
      </c>
    </row>
    <row r="10" spans="1:35" ht="24">
      <c r="B10" s="8">
        <f>IF(C10="","",COUNT($C$10:C10))</f>
        <v>1</v>
      </c>
      <c r="C10" s="20">
        <v>46296</v>
      </c>
      <c r="D10" s="11" t="s">
        <v>111</v>
      </c>
      <c r="E10" s="9" t="s">
        <v>88</v>
      </c>
      <c r="F10" s="21" t="str">
        <f>IF(E10="","",IFERROR(INDEX(食材マスタ!$D$10:$D$309,MATCH(E10,食材マスタ!$C$10:$C$309,0)),"※コード未登録"))</f>
        <v>テイクアウト容器</v>
      </c>
      <c r="G10" s="16">
        <v>300</v>
      </c>
      <c r="H10" s="8" t="str">
        <f>IF(E10="","",IFERROR(INDEX(食材マスタ!$H$10:$H$309,MATCH(E10,食材マスタ!$C$10:$C$309,0)),""))</f>
        <v>個</v>
      </c>
      <c r="I10" s="15">
        <f>IF(E10="","",IFERROR(INDEX(食材マスタ!$K$10:$K$309,MATCH(E10,食材マスタ!$C$10:$C$309,0)),""))</f>
        <v>18</v>
      </c>
      <c r="J10" s="15">
        <f t="shared" ref="J10:J73" si="0">IF(OR(G10="",I10=""),"",ROUND(ABS(G10)*I10,0))</f>
        <v>5400</v>
      </c>
      <c r="K10" s="20"/>
      <c r="L10" s="8" t="str">
        <f t="shared" ref="L10:L73" si="1">IF(AND(D10="入庫",E10&lt;&gt;""),E10&amp;"-"&amp;TEXT(ROW()-9,"0000"),"")</f>
        <v>PK-001-0001</v>
      </c>
      <c r="M10" s="9"/>
      <c r="N10" s="13">
        <f t="shared" ref="N10:N73" si="2">IF(L10="","",G10-SUMIFS($G$10:$G$1009,$M$10:$M$1009,L10,$D$10:$D$1009,"出庫")-SUMIFS($G$10:$G$1009,$M$10:$M$1009,L10,$D$10:$D$1009,"廃棄")+SUMIFS($G$10:$G$1009,$M$10:$M$1009,L10,$D$10:$D$1009,"棚卸調整"))</f>
        <v>180</v>
      </c>
      <c r="O10" s="22" t="str">
        <f t="shared" ref="O10:O73" ca="1" si="3">IF(OR(L10="",K10=""),"",IF(N10&lt;=0,"",K10-TODAY()))</f>
        <v/>
      </c>
      <c r="P10" s="17" t="str">
        <f t="shared" ref="P10:P73" si="4">IF(E10="","",IF(F10="※コード未登録","コード未登録",IF(AND(OR(D10="出庫",D10="廃棄"),M10=""),"ロット未指定",IF(AND(M10&lt;&gt;"",LEFT(M10,LEN(E10)+1)&lt;&gt;E10&amp;"-"),"ロット違い",IF(AND(L10&lt;&gt;"",N10&lt;0),"ロット残マイナス","")))))</f>
        <v/>
      </c>
      <c r="Q10" s="11" t="s">
        <v>112</v>
      </c>
      <c r="R10" s="10" t="s">
        <v>93</v>
      </c>
      <c r="S10" s="19"/>
      <c r="U10">
        <f ca="1">IF(AND(ISNUMBER(O10),O10&lt;=設定!$C$4),1,0)</f>
        <v>0</v>
      </c>
      <c r="V10" t="str">
        <f ca="1">IF(U10=1,SUM($U$10:U10),"")</f>
        <v/>
      </c>
    </row>
    <row r="11" spans="1:35" ht="24">
      <c r="B11" s="8">
        <f>IF(C11="","",COUNT($C$10:C11))</f>
        <v>2</v>
      </c>
      <c r="C11" s="20">
        <v>46296</v>
      </c>
      <c r="D11" s="11" t="s">
        <v>111</v>
      </c>
      <c r="E11" s="9" t="s">
        <v>74</v>
      </c>
      <c r="F11" s="21" t="str">
        <f>IF(E11="","",IFERROR(INDEX(食材マスタ!$D$10:$D$309,MATCH(E11,食材マスタ!$C$10:$C$309,0)),"※コード未登録"))</f>
        <v>濃口醤油</v>
      </c>
      <c r="G11" s="16">
        <v>6</v>
      </c>
      <c r="H11" s="8" t="str">
        <f>IF(E11="","",IFERROR(INDEX(食材マスタ!$H$10:$H$309,MATCH(E11,食材マスタ!$C$10:$C$309,0)),""))</f>
        <v>本</v>
      </c>
      <c r="I11" s="15">
        <f>IF(E11="","",IFERROR(INDEX(食材マスタ!$K$10:$K$309,MATCH(E11,食材マスタ!$C$10:$C$309,0)),""))</f>
        <v>520</v>
      </c>
      <c r="J11" s="15">
        <f t="shared" si="0"/>
        <v>3120</v>
      </c>
      <c r="K11" s="20">
        <v>46568</v>
      </c>
      <c r="L11" s="8" t="str">
        <f t="shared" si="1"/>
        <v>SE-001-0002</v>
      </c>
      <c r="M11" s="9"/>
      <c r="N11" s="13">
        <f t="shared" si="2"/>
        <v>4</v>
      </c>
      <c r="O11" s="22">
        <f t="shared" ca="1" si="3"/>
        <v>242</v>
      </c>
      <c r="P11" s="17" t="str">
        <f t="shared" si="4"/>
        <v/>
      </c>
      <c r="Q11" s="11" t="s">
        <v>112</v>
      </c>
      <c r="R11" s="10" t="s">
        <v>79</v>
      </c>
      <c r="S11" s="19"/>
      <c r="U11">
        <f ca="1">IF(AND(ISNUMBER(O11),O11&lt;=設定!$C$4),1,0)</f>
        <v>0</v>
      </c>
      <c r="V11" t="str">
        <f ca="1">IF(U11=1,SUM($U$10:U11),"")</f>
        <v/>
      </c>
    </row>
    <row r="12" spans="1:35" ht="24">
      <c r="B12" s="8">
        <f>IF(C12="","",COUNT($C$10:C12))</f>
        <v>3</v>
      </c>
      <c r="C12" s="20">
        <v>46296</v>
      </c>
      <c r="D12" s="11" t="s">
        <v>111</v>
      </c>
      <c r="E12" s="9" t="s">
        <v>81</v>
      </c>
      <c r="F12" s="21" t="str">
        <f>IF(E12="","",IFERROR(INDEX(食材マスタ!$D$10:$D$309,MATCH(E12,食材マスタ!$C$10:$C$309,0)),"※コード未登録"))</f>
        <v>薄力粉</v>
      </c>
      <c r="G12" s="16">
        <v>10</v>
      </c>
      <c r="H12" s="8" t="str">
        <f>IF(E12="","",IFERROR(INDEX(食材マスタ!$H$10:$H$309,MATCH(E12,食材マスタ!$C$10:$C$309,0)),""))</f>
        <v>袋</v>
      </c>
      <c r="I12" s="15">
        <f>IF(E12="","",IFERROR(INDEX(食材マスタ!$K$10:$K$309,MATCH(E12,食材マスタ!$C$10:$C$309,0)),""))</f>
        <v>260</v>
      </c>
      <c r="J12" s="15">
        <f t="shared" si="0"/>
        <v>2600</v>
      </c>
      <c r="K12" s="20">
        <v>46477</v>
      </c>
      <c r="L12" s="8" t="str">
        <f t="shared" si="1"/>
        <v>PW-001-0003</v>
      </c>
      <c r="M12" s="9"/>
      <c r="N12" s="13">
        <f t="shared" si="2"/>
        <v>7</v>
      </c>
      <c r="O12" s="22">
        <f t="shared" ca="1" si="3"/>
        <v>151</v>
      </c>
      <c r="P12" s="17" t="str">
        <f t="shared" si="4"/>
        <v/>
      </c>
      <c r="Q12" s="11" t="s">
        <v>112</v>
      </c>
      <c r="R12" s="10" t="s">
        <v>86</v>
      </c>
      <c r="S12" s="19"/>
      <c r="U12">
        <f ca="1">IF(AND(ISNUMBER(O12),O12&lt;=設定!$C$4),1,0)</f>
        <v>0</v>
      </c>
      <c r="V12" t="str">
        <f ca="1">IF(U12=1,SUM($U$10:U12),"")</f>
        <v/>
      </c>
    </row>
    <row r="13" spans="1:35" ht="24">
      <c r="B13" s="8">
        <f>IF(C13="","",COUNT($C$10:C13))</f>
        <v>4</v>
      </c>
      <c r="C13" s="20">
        <v>46310</v>
      </c>
      <c r="D13" s="11" t="s">
        <v>111</v>
      </c>
      <c r="E13" s="9" t="s">
        <v>41</v>
      </c>
      <c r="F13" s="21" t="str">
        <f>IF(E13="","",IFERROR(INDEX(食材マスタ!$D$10:$D$309,MATCH(E13,食材マスタ!$C$10:$C$309,0)),"※コード未登録"))</f>
        <v>サーモン切身</v>
      </c>
      <c r="G13" s="16">
        <v>5</v>
      </c>
      <c r="H13" s="8" t="str">
        <f>IF(E13="","",IFERROR(INDEX(食材マスタ!$H$10:$H$309,MATCH(E13,食材マスタ!$C$10:$C$309,0)),""))</f>
        <v>kg</v>
      </c>
      <c r="I13" s="15">
        <f>IF(E13="","",IFERROR(INDEX(食材マスタ!$K$10:$K$309,MATCH(E13,食材マスタ!$C$10:$C$309,0)),""))</f>
        <v>2800</v>
      </c>
      <c r="J13" s="15">
        <f t="shared" si="0"/>
        <v>14000</v>
      </c>
      <c r="K13" s="20">
        <v>46402</v>
      </c>
      <c r="L13" s="8" t="str">
        <f t="shared" si="1"/>
        <v>FS-001-0004</v>
      </c>
      <c r="M13" s="9"/>
      <c r="N13" s="13">
        <f t="shared" si="2"/>
        <v>2</v>
      </c>
      <c r="O13" s="22">
        <f t="shared" ca="1" si="3"/>
        <v>76</v>
      </c>
      <c r="P13" s="17" t="str">
        <f t="shared" si="4"/>
        <v/>
      </c>
      <c r="Q13" s="11" t="s">
        <v>112</v>
      </c>
      <c r="R13" s="10" t="s">
        <v>47</v>
      </c>
      <c r="S13" s="19"/>
      <c r="U13">
        <f ca="1">IF(AND(ISNUMBER(O13),O13&lt;=設定!$C$4),1,0)</f>
        <v>0</v>
      </c>
      <c r="V13" t="str">
        <f ca="1">IF(U13=1,SUM($U$10:U13),"")</f>
        <v/>
      </c>
    </row>
    <row r="14" spans="1:35" ht="24">
      <c r="B14" s="8">
        <f>IF(C14="","",COUNT($C$10:C14))</f>
        <v>5</v>
      </c>
      <c r="C14" s="20">
        <v>46315</v>
      </c>
      <c r="D14" s="11" t="s">
        <v>111</v>
      </c>
      <c r="E14" s="9" t="s">
        <v>32</v>
      </c>
      <c r="F14" s="21" t="str">
        <f>IF(E14="","",IFERROR(INDEX(食材マスタ!$D$10:$D$309,MATCH(E14,食材マスタ!$C$10:$C$309,0)),"※コード未登録"))</f>
        <v>鶏もも肉</v>
      </c>
      <c r="G14" s="16">
        <v>10</v>
      </c>
      <c r="H14" s="8" t="str">
        <f>IF(E14="","",IFERROR(INDEX(食材マスタ!$H$10:$H$309,MATCH(E14,食材マスタ!$C$10:$C$309,0)),""))</f>
        <v>kg</v>
      </c>
      <c r="I14" s="15">
        <f>IF(E14="","",IFERROR(INDEX(食材マスタ!$K$10:$K$309,MATCH(E14,食材マスタ!$C$10:$C$309,0)),""))</f>
        <v>980</v>
      </c>
      <c r="J14" s="15">
        <f t="shared" si="0"/>
        <v>9800</v>
      </c>
      <c r="K14" s="20">
        <v>46320</v>
      </c>
      <c r="L14" s="8" t="str">
        <f t="shared" si="1"/>
        <v>MT-001-0005</v>
      </c>
      <c r="M14" s="9"/>
      <c r="N14" s="13">
        <f t="shared" si="2"/>
        <v>2</v>
      </c>
      <c r="O14" s="22">
        <f t="shared" ca="1" si="3"/>
        <v>-6</v>
      </c>
      <c r="P14" s="17" t="str">
        <f t="shared" si="4"/>
        <v/>
      </c>
      <c r="Q14" s="11" t="s">
        <v>112</v>
      </c>
      <c r="R14" s="10" t="s">
        <v>39</v>
      </c>
      <c r="S14" s="19"/>
      <c r="U14">
        <f ca="1">IF(AND(ISNUMBER(O14),O14&lt;=設定!$C$4),1,0)</f>
        <v>1</v>
      </c>
      <c r="V14">
        <f ca="1">IF(U14=1,SUM($U$10:U14),"")</f>
        <v>1</v>
      </c>
    </row>
    <row r="15" spans="1:35" ht="24">
      <c r="B15" s="8">
        <f>IF(C15="","",COUNT($C$10:C15))</f>
        <v>6</v>
      </c>
      <c r="C15" s="20">
        <v>46315</v>
      </c>
      <c r="D15" s="11" t="s">
        <v>111</v>
      </c>
      <c r="E15" s="9" t="s">
        <v>49</v>
      </c>
      <c r="F15" s="21" t="str">
        <f>IF(E15="","",IFERROR(INDEX(食材マスタ!$D$10:$D$309,MATCH(E15,食材マスタ!$C$10:$C$309,0)),"※コード未登録"))</f>
        <v>玉ねぎ</v>
      </c>
      <c r="G15" s="16">
        <v>20</v>
      </c>
      <c r="H15" s="8" t="str">
        <f>IF(E15="","",IFERROR(INDEX(食材マスタ!$H$10:$H$309,MATCH(E15,食材マスタ!$C$10:$C$309,0)),""))</f>
        <v>kg</v>
      </c>
      <c r="I15" s="15">
        <f>IF(E15="","",IFERROR(INDEX(食材マスタ!$K$10:$K$309,MATCH(E15,食材マスタ!$C$10:$C$309,0)),""))</f>
        <v>220</v>
      </c>
      <c r="J15" s="15">
        <f t="shared" si="0"/>
        <v>4400</v>
      </c>
      <c r="K15" s="20"/>
      <c r="L15" s="8" t="str">
        <f t="shared" si="1"/>
        <v>VG-001-0006</v>
      </c>
      <c r="M15" s="9"/>
      <c r="N15" s="13">
        <f t="shared" si="2"/>
        <v>7.6</v>
      </c>
      <c r="O15" s="22" t="str">
        <f t="shared" ca="1" si="3"/>
        <v/>
      </c>
      <c r="P15" s="17" t="str">
        <f t="shared" si="4"/>
        <v/>
      </c>
      <c r="Q15" s="11" t="s">
        <v>112</v>
      </c>
      <c r="R15" s="10" t="s">
        <v>55</v>
      </c>
      <c r="S15" s="19"/>
      <c r="U15">
        <f ca="1">IF(AND(ISNUMBER(O15),O15&lt;=設定!$C$4),1,0)</f>
        <v>0</v>
      </c>
      <c r="V15" t="str">
        <f ca="1">IF(U15=1,SUM($U$10:U15),"")</f>
        <v/>
      </c>
    </row>
    <row r="16" spans="1:35" ht="24">
      <c r="B16" s="8">
        <f>IF(C16="","",COUNT($C$10:C16))</f>
        <v>7</v>
      </c>
      <c r="C16" s="20">
        <v>46315</v>
      </c>
      <c r="D16" s="11" t="s">
        <v>111</v>
      </c>
      <c r="E16" s="9" t="s">
        <v>68</v>
      </c>
      <c r="F16" s="21" t="str">
        <f>IF(E16="","",IFERROR(INDEX(食材マスタ!$D$10:$D$309,MATCH(E16,食材マスタ!$C$10:$C$309,0)),"※コード未登録"))</f>
        <v>鶏卵</v>
      </c>
      <c r="G16" s="16">
        <v>10</v>
      </c>
      <c r="H16" s="8" t="str">
        <f>IF(E16="","",IFERROR(INDEX(食材マスタ!$H$10:$H$309,MATCH(E16,食材マスタ!$C$10:$C$309,0)),""))</f>
        <v>パック</v>
      </c>
      <c r="I16" s="15">
        <f>IF(E16="","",IFERROR(INDEX(食材マスタ!$K$10:$K$309,MATCH(E16,食材マスタ!$C$10:$C$309,0)),""))</f>
        <v>280</v>
      </c>
      <c r="J16" s="15">
        <f t="shared" si="0"/>
        <v>2800</v>
      </c>
      <c r="K16" s="20">
        <v>46329</v>
      </c>
      <c r="L16" s="8" t="str">
        <f t="shared" si="1"/>
        <v>DY-002-0007</v>
      </c>
      <c r="M16" s="9"/>
      <c r="N16" s="13">
        <f t="shared" si="2"/>
        <v>0</v>
      </c>
      <c r="O16" s="22" t="str">
        <f t="shared" ca="1" si="3"/>
        <v/>
      </c>
      <c r="P16" s="17" t="str">
        <f t="shared" si="4"/>
        <v/>
      </c>
      <c r="Q16" s="11" t="s">
        <v>112</v>
      </c>
      <c r="R16" s="10" t="s">
        <v>72</v>
      </c>
      <c r="S16" s="19"/>
      <c r="U16">
        <f ca="1">IF(AND(ISNUMBER(O16),O16&lt;=設定!$C$4),1,0)</f>
        <v>0</v>
      </c>
      <c r="V16" t="str">
        <f ca="1">IF(U16=1,SUM($U$10:U16),"")</f>
        <v/>
      </c>
    </row>
    <row r="17" spans="2:22">
      <c r="B17" s="8">
        <f>IF(C17="","",COUNT($C$10:C17))</f>
        <v>8</v>
      </c>
      <c r="C17" s="20">
        <v>46317</v>
      </c>
      <c r="D17" s="11" t="s">
        <v>113</v>
      </c>
      <c r="E17" s="9" t="s">
        <v>32</v>
      </c>
      <c r="F17" s="21" t="str">
        <f>IF(E17="","",IFERROR(INDEX(食材マスタ!$D$10:$D$309,MATCH(E17,食材マスタ!$C$10:$C$309,0)),"※コード未登録"))</f>
        <v>鶏もも肉</v>
      </c>
      <c r="G17" s="16">
        <v>8</v>
      </c>
      <c r="H17" s="8" t="str">
        <f>IF(E17="","",IFERROR(INDEX(食材マスタ!$H$10:$H$309,MATCH(E17,食材マスタ!$C$10:$C$309,0)),""))</f>
        <v>kg</v>
      </c>
      <c r="I17" s="15">
        <f>IF(E17="","",IFERROR(INDEX(食材マスタ!$K$10:$K$309,MATCH(E17,食材マスタ!$C$10:$C$309,0)),""))</f>
        <v>980</v>
      </c>
      <c r="J17" s="15">
        <f t="shared" si="0"/>
        <v>7840</v>
      </c>
      <c r="K17" s="20"/>
      <c r="L17" s="8" t="str">
        <f t="shared" si="1"/>
        <v/>
      </c>
      <c r="M17" s="9" t="s">
        <v>114</v>
      </c>
      <c r="N17" s="13" t="str">
        <f t="shared" si="2"/>
        <v/>
      </c>
      <c r="O17" s="22" t="str">
        <f t="shared" ca="1" si="3"/>
        <v/>
      </c>
      <c r="P17" s="17" t="str">
        <f t="shared" si="4"/>
        <v/>
      </c>
      <c r="Q17" s="11" t="s">
        <v>115</v>
      </c>
      <c r="R17" s="10" t="s">
        <v>116</v>
      </c>
      <c r="S17" s="19"/>
      <c r="U17">
        <f ca="1">IF(AND(ISNUMBER(O17),O17&lt;=設定!$C$4),1,0)</f>
        <v>0</v>
      </c>
      <c r="V17" t="str">
        <f ca="1">IF(U17=1,SUM($U$10:U17),"")</f>
        <v/>
      </c>
    </row>
    <row r="18" spans="2:22">
      <c r="B18" s="8">
        <f>IF(C18="","",COUNT($C$10:C18))</f>
        <v>9</v>
      </c>
      <c r="C18" s="20">
        <v>46319</v>
      </c>
      <c r="D18" s="11" t="s">
        <v>113</v>
      </c>
      <c r="E18" s="9" t="s">
        <v>41</v>
      </c>
      <c r="F18" s="21" t="str">
        <f>IF(E18="","",IFERROR(INDEX(食材マスタ!$D$10:$D$309,MATCH(E18,食材マスタ!$C$10:$C$309,0)),"※コード未登録"))</f>
        <v>サーモン切身</v>
      </c>
      <c r="G18" s="16">
        <v>3</v>
      </c>
      <c r="H18" s="8" t="str">
        <f>IF(E18="","",IFERROR(INDEX(食材マスタ!$H$10:$H$309,MATCH(E18,食材マスタ!$C$10:$C$309,0)),""))</f>
        <v>kg</v>
      </c>
      <c r="I18" s="15">
        <f>IF(E18="","",IFERROR(INDEX(食材マスタ!$K$10:$K$309,MATCH(E18,食材マスタ!$C$10:$C$309,0)),""))</f>
        <v>2800</v>
      </c>
      <c r="J18" s="15">
        <f t="shared" si="0"/>
        <v>8400</v>
      </c>
      <c r="K18" s="20"/>
      <c r="L18" s="8" t="str">
        <f t="shared" si="1"/>
        <v/>
      </c>
      <c r="M18" s="9" t="s">
        <v>117</v>
      </c>
      <c r="N18" s="13" t="str">
        <f t="shared" si="2"/>
        <v/>
      </c>
      <c r="O18" s="22" t="str">
        <f t="shared" ca="1" si="3"/>
        <v/>
      </c>
      <c r="P18" s="17" t="str">
        <f t="shared" si="4"/>
        <v/>
      </c>
      <c r="Q18" s="11" t="s">
        <v>115</v>
      </c>
      <c r="R18" s="10" t="s">
        <v>118</v>
      </c>
      <c r="S18" s="19"/>
      <c r="U18">
        <f ca="1">IF(AND(ISNUMBER(O18),O18&lt;=設定!$C$4),1,0)</f>
        <v>0</v>
      </c>
      <c r="V18" t="str">
        <f ca="1">IF(U18=1,SUM($U$10:U18),"")</f>
        <v/>
      </c>
    </row>
    <row r="19" spans="2:22" ht="24">
      <c r="B19" s="8">
        <f>IF(C19="","",COUNT($C$10:C19))</f>
        <v>10</v>
      </c>
      <c r="C19" s="20">
        <v>46320</v>
      </c>
      <c r="D19" s="11" t="s">
        <v>111</v>
      </c>
      <c r="E19" s="9" t="s">
        <v>56</v>
      </c>
      <c r="F19" s="21" t="str">
        <f>IF(E19="","",IFERROR(INDEX(食材マスタ!$D$10:$D$309,MATCH(E19,食材マスタ!$C$10:$C$309,0)),"※コード未登録"))</f>
        <v>キャベツ</v>
      </c>
      <c r="G19" s="16">
        <v>10</v>
      </c>
      <c r="H19" s="8" t="str">
        <f>IF(E19="","",IFERROR(INDEX(食材マスタ!$H$10:$H$309,MATCH(E19,食材マスタ!$C$10:$C$309,0)),""))</f>
        <v>個</v>
      </c>
      <c r="I19" s="15">
        <f>IF(E19="","",IFERROR(INDEX(食材マスタ!$K$10:$K$309,MATCH(E19,食材マスタ!$C$10:$C$309,0)),""))</f>
        <v>180</v>
      </c>
      <c r="J19" s="15">
        <f t="shared" si="0"/>
        <v>1800</v>
      </c>
      <c r="K19" s="20">
        <v>46329</v>
      </c>
      <c r="L19" s="8" t="str">
        <f t="shared" si="1"/>
        <v>VG-002-0010</v>
      </c>
      <c r="M19" s="9"/>
      <c r="N19" s="13">
        <f t="shared" si="2"/>
        <v>9</v>
      </c>
      <c r="O19" s="22">
        <f t="shared" ca="1" si="3"/>
        <v>3</v>
      </c>
      <c r="P19" s="17" t="str">
        <f t="shared" si="4"/>
        <v/>
      </c>
      <c r="Q19" s="11" t="s">
        <v>112</v>
      </c>
      <c r="R19" s="10" t="s">
        <v>55</v>
      </c>
      <c r="S19" s="19"/>
      <c r="U19">
        <f ca="1">IF(AND(ISNUMBER(O19),O19&lt;=設定!$C$4),1,0)</f>
        <v>1</v>
      </c>
      <c r="V19">
        <f ca="1">IF(U19=1,SUM($U$10:U19),"")</f>
        <v>2</v>
      </c>
    </row>
    <row r="20" spans="2:22" ht="24">
      <c r="B20" s="8">
        <f>IF(C20="","",COUNT($C$10:C20))</f>
        <v>11</v>
      </c>
      <c r="C20" s="20">
        <v>46321</v>
      </c>
      <c r="D20" s="11" t="s">
        <v>111</v>
      </c>
      <c r="E20" s="9" t="s">
        <v>32</v>
      </c>
      <c r="F20" s="21" t="str">
        <f>IF(E20="","",IFERROR(INDEX(食材マスタ!$D$10:$D$309,MATCH(E20,食材マスタ!$C$10:$C$309,0)),"※コード未登録"))</f>
        <v>鶏もも肉</v>
      </c>
      <c r="G20" s="16">
        <v>10</v>
      </c>
      <c r="H20" s="8" t="str">
        <f>IF(E20="","",IFERROR(INDEX(食材マスタ!$H$10:$H$309,MATCH(E20,食材マスタ!$C$10:$C$309,0)),""))</f>
        <v>kg</v>
      </c>
      <c r="I20" s="15">
        <f>IF(E20="","",IFERROR(INDEX(食材マスタ!$K$10:$K$309,MATCH(E20,食材マスタ!$C$10:$C$309,0)),""))</f>
        <v>980</v>
      </c>
      <c r="J20" s="15">
        <f t="shared" si="0"/>
        <v>9800</v>
      </c>
      <c r="K20" s="20">
        <v>46327</v>
      </c>
      <c r="L20" s="8" t="str">
        <f t="shared" si="1"/>
        <v>MT-001-0011</v>
      </c>
      <c r="M20" s="9"/>
      <c r="N20" s="13">
        <f t="shared" si="2"/>
        <v>5.5</v>
      </c>
      <c r="O20" s="22">
        <f t="shared" ca="1" si="3"/>
        <v>1</v>
      </c>
      <c r="P20" s="17" t="str">
        <f t="shared" si="4"/>
        <v/>
      </c>
      <c r="Q20" s="11" t="s">
        <v>112</v>
      </c>
      <c r="R20" s="10" t="s">
        <v>39</v>
      </c>
      <c r="S20" s="19"/>
      <c r="U20">
        <f ca="1">IF(AND(ISNUMBER(O20),O20&lt;=設定!$C$4),1,0)</f>
        <v>1</v>
      </c>
      <c r="V20">
        <f ca="1">IF(U20=1,SUM($U$10:U20),"")</f>
        <v>3</v>
      </c>
    </row>
    <row r="21" spans="2:22" ht="24">
      <c r="B21" s="8">
        <f>IF(C21="","",COUNT($C$10:C21))</f>
        <v>12</v>
      </c>
      <c r="C21" s="20">
        <v>46322</v>
      </c>
      <c r="D21" s="11" t="s">
        <v>111</v>
      </c>
      <c r="E21" s="9" t="s">
        <v>61</v>
      </c>
      <c r="F21" s="21" t="str">
        <f>IF(E21="","",IFERROR(INDEX(食材マスタ!$D$10:$D$309,MATCH(E21,食材マスタ!$C$10:$C$309,0)),"※コード未登録"))</f>
        <v>牛乳</v>
      </c>
      <c r="G21" s="16">
        <v>12</v>
      </c>
      <c r="H21" s="8" t="str">
        <f>IF(E21="","",IFERROR(INDEX(食材マスタ!$H$10:$H$309,MATCH(E21,食材マスタ!$C$10:$C$309,0)),""))</f>
        <v>本</v>
      </c>
      <c r="I21" s="15">
        <f>IF(E21="","",IFERROR(INDEX(食材マスタ!$K$10:$K$309,MATCH(E21,食材マスタ!$C$10:$C$309,0)),""))</f>
        <v>230</v>
      </c>
      <c r="J21" s="15">
        <f t="shared" si="0"/>
        <v>2760</v>
      </c>
      <c r="K21" s="20">
        <v>46328</v>
      </c>
      <c r="L21" s="8" t="str">
        <f t="shared" si="1"/>
        <v>DY-001-0012</v>
      </c>
      <c r="M21" s="9"/>
      <c r="N21" s="13">
        <f t="shared" si="2"/>
        <v>6</v>
      </c>
      <c r="O21" s="22">
        <f t="shared" ca="1" si="3"/>
        <v>2</v>
      </c>
      <c r="P21" s="17" t="str">
        <f t="shared" si="4"/>
        <v/>
      </c>
      <c r="Q21" s="11" t="s">
        <v>112</v>
      </c>
      <c r="R21" s="10" t="s">
        <v>66</v>
      </c>
      <c r="S21" s="19"/>
      <c r="U21">
        <f ca="1">IF(AND(ISNUMBER(O21),O21&lt;=設定!$C$4),1,0)</f>
        <v>1</v>
      </c>
      <c r="V21">
        <f ca="1">IF(U21=1,SUM($U$10:U21),"")</f>
        <v>4</v>
      </c>
    </row>
    <row r="22" spans="2:22">
      <c r="B22" s="8">
        <f>IF(C22="","",COUNT($C$10:C22))</f>
        <v>13</v>
      </c>
      <c r="C22" s="20">
        <v>46322</v>
      </c>
      <c r="D22" s="11" t="s">
        <v>113</v>
      </c>
      <c r="E22" s="9" t="s">
        <v>32</v>
      </c>
      <c r="F22" s="21" t="str">
        <f>IF(E22="","",IFERROR(INDEX(食材マスタ!$D$10:$D$309,MATCH(E22,食材マスタ!$C$10:$C$309,0)),"※コード未登録"))</f>
        <v>鶏もも肉</v>
      </c>
      <c r="G22" s="16">
        <v>4.5</v>
      </c>
      <c r="H22" s="8" t="str">
        <f>IF(E22="","",IFERROR(INDEX(食材マスタ!$H$10:$H$309,MATCH(E22,食材マスタ!$C$10:$C$309,0)),""))</f>
        <v>kg</v>
      </c>
      <c r="I22" s="15">
        <f>IF(E22="","",IFERROR(INDEX(食材マスタ!$K$10:$K$309,MATCH(E22,食材マスタ!$C$10:$C$309,0)),""))</f>
        <v>980</v>
      </c>
      <c r="J22" s="15">
        <f t="shared" si="0"/>
        <v>4410</v>
      </c>
      <c r="K22" s="20"/>
      <c r="L22" s="8" t="str">
        <f t="shared" si="1"/>
        <v/>
      </c>
      <c r="M22" s="9" t="s">
        <v>119</v>
      </c>
      <c r="N22" s="13" t="str">
        <f t="shared" si="2"/>
        <v/>
      </c>
      <c r="O22" s="22" t="str">
        <f t="shared" ca="1" si="3"/>
        <v/>
      </c>
      <c r="P22" s="17" t="str">
        <f t="shared" si="4"/>
        <v/>
      </c>
      <c r="Q22" s="11" t="s">
        <v>115</v>
      </c>
      <c r="R22" s="10" t="s">
        <v>116</v>
      </c>
      <c r="S22" s="19"/>
      <c r="U22">
        <f ca="1">IF(AND(ISNUMBER(O22),O22&lt;=設定!$C$4),1,0)</f>
        <v>0</v>
      </c>
      <c r="V22" t="str">
        <f ca="1">IF(U22=1,SUM($U$10:U22),"")</f>
        <v/>
      </c>
    </row>
    <row r="23" spans="2:22">
      <c r="B23" s="8">
        <f>IF(C23="","",COUNT($C$10:C23))</f>
        <v>14</v>
      </c>
      <c r="C23" s="20">
        <v>46323</v>
      </c>
      <c r="D23" s="11" t="s">
        <v>113</v>
      </c>
      <c r="E23" s="9" t="s">
        <v>49</v>
      </c>
      <c r="F23" s="21" t="str">
        <f>IF(E23="","",IFERROR(INDEX(食材マスタ!$D$10:$D$309,MATCH(E23,食材マスタ!$C$10:$C$309,0)),"※コード未登録"))</f>
        <v>玉ねぎ</v>
      </c>
      <c r="G23" s="16">
        <v>12.4</v>
      </c>
      <c r="H23" s="8" t="str">
        <f>IF(E23="","",IFERROR(INDEX(食材マスタ!$H$10:$H$309,MATCH(E23,食材マスタ!$C$10:$C$309,0)),""))</f>
        <v>kg</v>
      </c>
      <c r="I23" s="15">
        <f>IF(E23="","",IFERROR(INDEX(食材マスタ!$K$10:$K$309,MATCH(E23,食材マスタ!$C$10:$C$309,0)),""))</f>
        <v>220</v>
      </c>
      <c r="J23" s="15">
        <f t="shared" si="0"/>
        <v>2728</v>
      </c>
      <c r="K23" s="20"/>
      <c r="L23" s="8" t="str">
        <f t="shared" si="1"/>
        <v/>
      </c>
      <c r="M23" s="9" t="s">
        <v>120</v>
      </c>
      <c r="N23" s="13" t="str">
        <f t="shared" si="2"/>
        <v/>
      </c>
      <c r="O23" s="22" t="str">
        <f t="shared" ca="1" si="3"/>
        <v/>
      </c>
      <c r="P23" s="17" t="str">
        <f t="shared" si="4"/>
        <v/>
      </c>
      <c r="Q23" s="11" t="s">
        <v>121</v>
      </c>
      <c r="R23" s="10" t="s">
        <v>122</v>
      </c>
      <c r="S23" s="19"/>
      <c r="U23">
        <f ca="1">IF(AND(ISNUMBER(O23),O23&lt;=設定!$C$4),1,0)</f>
        <v>0</v>
      </c>
      <c r="V23" t="str">
        <f ca="1">IF(U23=1,SUM($U$10:U23),"")</f>
        <v/>
      </c>
    </row>
    <row r="24" spans="2:22">
      <c r="B24" s="8">
        <f>IF(C24="","",COUNT($C$10:C24))</f>
        <v>15</v>
      </c>
      <c r="C24" s="20">
        <v>46323</v>
      </c>
      <c r="D24" s="11" t="s">
        <v>123</v>
      </c>
      <c r="E24" s="9" t="s">
        <v>56</v>
      </c>
      <c r="F24" s="21" t="str">
        <f>IF(E24="","",IFERROR(INDEX(食材マスタ!$D$10:$D$309,MATCH(E24,食材マスタ!$C$10:$C$309,0)),"※コード未登録"))</f>
        <v>キャベツ</v>
      </c>
      <c r="G24" s="16">
        <v>1</v>
      </c>
      <c r="H24" s="8" t="str">
        <f>IF(E24="","",IFERROR(INDEX(食材マスタ!$H$10:$H$309,MATCH(E24,食材マスタ!$C$10:$C$309,0)),""))</f>
        <v>個</v>
      </c>
      <c r="I24" s="15">
        <f>IF(E24="","",IFERROR(INDEX(食材マスタ!$K$10:$K$309,MATCH(E24,食材マスタ!$C$10:$C$309,0)),""))</f>
        <v>180</v>
      </c>
      <c r="J24" s="15">
        <f t="shared" si="0"/>
        <v>180</v>
      </c>
      <c r="K24" s="20"/>
      <c r="L24" s="8" t="str">
        <f t="shared" si="1"/>
        <v/>
      </c>
      <c r="M24" s="9" t="s">
        <v>124</v>
      </c>
      <c r="N24" s="13" t="str">
        <f t="shared" si="2"/>
        <v/>
      </c>
      <c r="O24" s="22" t="str">
        <f t="shared" ca="1" si="3"/>
        <v/>
      </c>
      <c r="P24" s="17" t="str">
        <f t="shared" si="4"/>
        <v/>
      </c>
      <c r="Q24" s="11" t="s">
        <v>121</v>
      </c>
      <c r="R24" s="19"/>
      <c r="S24" s="10" t="s">
        <v>125</v>
      </c>
      <c r="U24">
        <f ca="1">IF(AND(ISNUMBER(O24),O24&lt;=設定!$C$4),1,0)</f>
        <v>0</v>
      </c>
      <c r="V24" t="str">
        <f ca="1">IF(U24=1,SUM($U$10:U24),"")</f>
        <v/>
      </c>
    </row>
    <row r="25" spans="2:22">
      <c r="B25" s="8">
        <f>IF(C25="","",COUNT($C$10:C25))</f>
        <v>16</v>
      </c>
      <c r="C25" s="20">
        <v>46324</v>
      </c>
      <c r="D25" s="11" t="s">
        <v>113</v>
      </c>
      <c r="E25" s="9" t="s">
        <v>61</v>
      </c>
      <c r="F25" s="21" t="str">
        <f>IF(E25="","",IFERROR(INDEX(食材マスタ!$D$10:$D$309,MATCH(E25,食材マスタ!$C$10:$C$309,0)),"※コード未登録"))</f>
        <v>牛乳</v>
      </c>
      <c r="G25" s="16">
        <v>6</v>
      </c>
      <c r="H25" s="8" t="str">
        <f>IF(E25="","",IFERROR(INDEX(食材マスタ!$H$10:$H$309,MATCH(E25,食材マスタ!$C$10:$C$309,0)),""))</f>
        <v>本</v>
      </c>
      <c r="I25" s="15">
        <f>IF(E25="","",IFERROR(INDEX(食材マスタ!$K$10:$K$309,MATCH(E25,食材マスタ!$C$10:$C$309,0)),""))</f>
        <v>230</v>
      </c>
      <c r="J25" s="15">
        <f t="shared" si="0"/>
        <v>1380</v>
      </c>
      <c r="K25" s="20"/>
      <c r="L25" s="8" t="str">
        <f t="shared" si="1"/>
        <v/>
      </c>
      <c r="M25" s="9" t="s">
        <v>126</v>
      </c>
      <c r="N25" s="13" t="str">
        <f t="shared" si="2"/>
        <v/>
      </c>
      <c r="O25" s="22" t="str">
        <f t="shared" ca="1" si="3"/>
        <v/>
      </c>
      <c r="P25" s="17" t="str">
        <f t="shared" si="4"/>
        <v/>
      </c>
      <c r="Q25" s="11" t="s">
        <v>127</v>
      </c>
      <c r="R25" s="10" t="s">
        <v>128</v>
      </c>
      <c r="S25" s="19"/>
      <c r="U25">
        <f ca="1">IF(AND(ISNUMBER(O25),O25&lt;=設定!$C$4),1,0)</f>
        <v>0</v>
      </c>
      <c r="V25" t="str">
        <f ca="1">IF(U25=1,SUM($U$10:U25),"")</f>
        <v/>
      </c>
    </row>
    <row r="26" spans="2:22">
      <c r="B26" s="8">
        <f>IF(C26="","",COUNT($C$10:C26))</f>
        <v>17</v>
      </c>
      <c r="C26" s="20">
        <v>46324</v>
      </c>
      <c r="D26" s="11" t="s">
        <v>113</v>
      </c>
      <c r="E26" s="9" t="s">
        <v>68</v>
      </c>
      <c r="F26" s="21" t="str">
        <f>IF(E26="","",IFERROR(INDEX(食材マスタ!$D$10:$D$309,MATCH(E26,食材マスタ!$C$10:$C$309,0)),"※コード未登録"))</f>
        <v>鶏卵</v>
      </c>
      <c r="G26" s="16">
        <v>10</v>
      </c>
      <c r="H26" s="8" t="str">
        <f>IF(E26="","",IFERROR(INDEX(食材マスタ!$H$10:$H$309,MATCH(E26,食材マスタ!$C$10:$C$309,0)),""))</f>
        <v>パック</v>
      </c>
      <c r="I26" s="15">
        <f>IF(E26="","",IFERROR(INDEX(食材マスタ!$K$10:$K$309,MATCH(E26,食材マスタ!$C$10:$C$309,0)),""))</f>
        <v>280</v>
      </c>
      <c r="J26" s="15">
        <f t="shared" si="0"/>
        <v>2800</v>
      </c>
      <c r="K26" s="20"/>
      <c r="L26" s="8" t="str">
        <f t="shared" si="1"/>
        <v/>
      </c>
      <c r="M26" s="9" t="s">
        <v>129</v>
      </c>
      <c r="N26" s="13" t="str">
        <f t="shared" si="2"/>
        <v/>
      </c>
      <c r="O26" s="22" t="str">
        <f t="shared" ca="1" si="3"/>
        <v/>
      </c>
      <c r="P26" s="17" t="str">
        <f t="shared" si="4"/>
        <v/>
      </c>
      <c r="Q26" s="11" t="s">
        <v>127</v>
      </c>
      <c r="R26" s="10" t="s">
        <v>130</v>
      </c>
      <c r="S26" s="19"/>
      <c r="U26">
        <f ca="1">IF(AND(ISNUMBER(O26),O26&lt;=設定!$C$4),1,0)</f>
        <v>0</v>
      </c>
      <c r="V26" t="str">
        <f ca="1">IF(U26=1,SUM($U$10:U26),"")</f>
        <v/>
      </c>
    </row>
    <row r="27" spans="2:22">
      <c r="B27" s="8">
        <f>IF(C27="","",COUNT($C$10:C27))</f>
        <v>18</v>
      </c>
      <c r="C27" s="20">
        <v>46324</v>
      </c>
      <c r="D27" s="11" t="s">
        <v>113</v>
      </c>
      <c r="E27" s="9" t="s">
        <v>88</v>
      </c>
      <c r="F27" s="21" t="str">
        <f>IF(E27="","",IFERROR(INDEX(食材マスタ!$D$10:$D$309,MATCH(E27,食材マスタ!$C$10:$C$309,0)),"※コード未登録"))</f>
        <v>テイクアウト容器</v>
      </c>
      <c r="G27" s="16">
        <v>120</v>
      </c>
      <c r="H27" s="8" t="str">
        <f>IF(E27="","",IFERROR(INDEX(食材マスタ!$H$10:$H$309,MATCH(E27,食材マスタ!$C$10:$C$309,0)),""))</f>
        <v>個</v>
      </c>
      <c r="I27" s="15">
        <f>IF(E27="","",IFERROR(INDEX(食材マスタ!$K$10:$K$309,MATCH(E27,食材マスタ!$C$10:$C$309,0)),""))</f>
        <v>18</v>
      </c>
      <c r="J27" s="15">
        <f t="shared" si="0"/>
        <v>2160</v>
      </c>
      <c r="K27" s="20"/>
      <c r="L27" s="8" t="str">
        <f t="shared" si="1"/>
        <v/>
      </c>
      <c r="M27" s="9" t="s">
        <v>131</v>
      </c>
      <c r="N27" s="13" t="str">
        <f t="shared" si="2"/>
        <v/>
      </c>
      <c r="O27" s="22" t="str">
        <f t="shared" ca="1" si="3"/>
        <v/>
      </c>
      <c r="P27" s="17" t="str">
        <f t="shared" si="4"/>
        <v/>
      </c>
      <c r="Q27" s="11" t="s">
        <v>132</v>
      </c>
      <c r="R27" s="10" t="s">
        <v>133</v>
      </c>
      <c r="S27" s="19"/>
      <c r="U27">
        <f ca="1">IF(AND(ISNUMBER(O27),O27&lt;=設定!$C$4),1,0)</f>
        <v>0</v>
      </c>
      <c r="V27" t="str">
        <f ca="1">IF(U27=1,SUM($U$10:U27),"")</f>
        <v/>
      </c>
    </row>
    <row r="28" spans="2:22">
      <c r="B28" s="8">
        <f>IF(C28="","",COUNT($C$10:C28))</f>
        <v>19</v>
      </c>
      <c r="C28" s="20">
        <v>46324</v>
      </c>
      <c r="D28" s="11" t="s">
        <v>113</v>
      </c>
      <c r="E28" s="9" t="s">
        <v>74</v>
      </c>
      <c r="F28" s="21" t="str">
        <f>IF(E28="","",IFERROR(INDEX(食材マスタ!$D$10:$D$309,MATCH(E28,食材マスタ!$C$10:$C$309,0)),"※コード未登録"))</f>
        <v>濃口醤油</v>
      </c>
      <c r="G28" s="16">
        <v>2</v>
      </c>
      <c r="H28" s="8" t="str">
        <f>IF(E28="","",IFERROR(INDEX(食材マスタ!$H$10:$H$309,MATCH(E28,食材マスタ!$C$10:$C$309,0)),""))</f>
        <v>本</v>
      </c>
      <c r="I28" s="15">
        <f>IF(E28="","",IFERROR(INDEX(食材マスタ!$K$10:$K$309,MATCH(E28,食材マスタ!$C$10:$C$309,0)),""))</f>
        <v>520</v>
      </c>
      <c r="J28" s="15">
        <f t="shared" si="0"/>
        <v>1040</v>
      </c>
      <c r="K28" s="20"/>
      <c r="L28" s="8" t="str">
        <f t="shared" si="1"/>
        <v/>
      </c>
      <c r="M28" s="9" t="s">
        <v>134</v>
      </c>
      <c r="N28" s="13" t="str">
        <f t="shared" si="2"/>
        <v/>
      </c>
      <c r="O28" s="22" t="str">
        <f t="shared" ca="1" si="3"/>
        <v/>
      </c>
      <c r="P28" s="17" t="str">
        <f t="shared" si="4"/>
        <v/>
      </c>
      <c r="Q28" s="11" t="s">
        <v>115</v>
      </c>
      <c r="R28" s="10" t="s">
        <v>135</v>
      </c>
      <c r="S28" s="19"/>
      <c r="U28">
        <f ca="1">IF(AND(ISNUMBER(O28),O28&lt;=設定!$C$4),1,0)</f>
        <v>0</v>
      </c>
      <c r="V28" t="str">
        <f ca="1">IF(U28=1,SUM($U$10:U28),"")</f>
        <v/>
      </c>
    </row>
    <row r="29" spans="2:22">
      <c r="B29" s="8">
        <f>IF(C29="","",COUNT($C$10:C29))</f>
        <v>20</v>
      </c>
      <c r="C29" s="20">
        <v>46324</v>
      </c>
      <c r="D29" s="11" t="s">
        <v>113</v>
      </c>
      <c r="E29" s="9" t="s">
        <v>81</v>
      </c>
      <c r="F29" s="21" t="str">
        <f>IF(E29="","",IFERROR(INDEX(食材マスタ!$D$10:$D$309,MATCH(E29,食材マスタ!$C$10:$C$309,0)),"※コード未登録"))</f>
        <v>薄力粉</v>
      </c>
      <c r="G29" s="16">
        <v>3</v>
      </c>
      <c r="H29" s="8" t="str">
        <f>IF(E29="","",IFERROR(INDEX(食材マスタ!$H$10:$H$309,MATCH(E29,食材マスタ!$C$10:$C$309,0)),""))</f>
        <v>袋</v>
      </c>
      <c r="I29" s="15">
        <f>IF(E29="","",IFERROR(INDEX(食材マスタ!$K$10:$K$309,MATCH(E29,食材マスタ!$C$10:$C$309,0)),""))</f>
        <v>260</v>
      </c>
      <c r="J29" s="15">
        <f t="shared" si="0"/>
        <v>780</v>
      </c>
      <c r="K29" s="20"/>
      <c r="L29" s="8" t="str">
        <f t="shared" si="1"/>
        <v/>
      </c>
      <c r="M29" s="9" t="s">
        <v>136</v>
      </c>
      <c r="N29" s="13" t="str">
        <f t="shared" si="2"/>
        <v/>
      </c>
      <c r="O29" s="22" t="str">
        <f t="shared" ca="1" si="3"/>
        <v/>
      </c>
      <c r="P29" s="17" t="str">
        <f t="shared" si="4"/>
        <v/>
      </c>
      <c r="Q29" s="11" t="s">
        <v>127</v>
      </c>
      <c r="R29" s="10" t="s">
        <v>128</v>
      </c>
      <c r="S29" s="19"/>
      <c r="U29">
        <f ca="1">IF(AND(ISNUMBER(O29),O29&lt;=設定!$C$4),1,0)</f>
        <v>0</v>
      </c>
      <c r="V29" t="str">
        <f ca="1">IF(U29=1,SUM($U$10:U29),"")</f>
        <v/>
      </c>
    </row>
    <row r="30" spans="2:22">
      <c r="B30" s="8" t="str">
        <f>IF(C30="","",COUNT($C$10:C30))</f>
        <v/>
      </c>
      <c r="C30" s="20"/>
      <c r="D30" s="11"/>
      <c r="E30" s="9"/>
      <c r="F30" s="21" t="str">
        <f>IF(E30="","",IFERROR(INDEX(食材マスタ!$D$10:$D$309,MATCH(E30,食材マスタ!$C$10:$C$309,0)),"※コード未登録"))</f>
        <v/>
      </c>
      <c r="G30" s="16"/>
      <c r="H30" s="8" t="str">
        <f>IF(E30="","",IFERROR(INDEX(食材マスタ!$H$10:$H$309,MATCH(E30,食材マスタ!$C$10:$C$309,0)),""))</f>
        <v/>
      </c>
      <c r="I30" s="15" t="str">
        <f>IF(E30="","",IFERROR(INDEX(食材マスタ!$K$10:$K$309,MATCH(E30,食材マスタ!$C$10:$C$309,0)),""))</f>
        <v/>
      </c>
      <c r="J30" s="15" t="str">
        <f t="shared" si="0"/>
        <v/>
      </c>
      <c r="K30" s="20"/>
      <c r="L30" s="8" t="str">
        <f t="shared" si="1"/>
        <v/>
      </c>
      <c r="M30" s="9"/>
      <c r="N30" s="13" t="str">
        <f t="shared" si="2"/>
        <v/>
      </c>
      <c r="O30" s="22" t="str">
        <f t="shared" ca="1" si="3"/>
        <v/>
      </c>
      <c r="P30" s="17" t="str">
        <f t="shared" si="4"/>
        <v/>
      </c>
      <c r="Q30" s="11"/>
      <c r="R30" s="19"/>
      <c r="S30" s="19"/>
      <c r="U30">
        <f ca="1">IF(AND(ISNUMBER(O30),O30&lt;=設定!$C$4),1,0)</f>
        <v>0</v>
      </c>
      <c r="V30" t="str">
        <f ca="1">IF(U30=1,SUM($U$10:U30),"")</f>
        <v/>
      </c>
    </row>
    <row r="31" spans="2:22">
      <c r="B31" s="8" t="str">
        <f>IF(C31="","",COUNT($C$10:C31))</f>
        <v/>
      </c>
      <c r="C31" s="20"/>
      <c r="D31" s="11"/>
      <c r="E31" s="9"/>
      <c r="F31" s="21" t="str">
        <f>IF(E31="","",IFERROR(INDEX(食材マスタ!$D$10:$D$309,MATCH(E31,食材マスタ!$C$10:$C$309,0)),"※コード未登録"))</f>
        <v/>
      </c>
      <c r="G31" s="16"/>
      <c r="H31" s="8" t="str">
        <f>IF(E31="","",IFERROR(INDEX(食材マスタ!$H$10:$H$309,MATCH(E31,食材マスタ!$C$10:$C$309,0)),""))</f>
        <v/>
      </c>
      <c r="I31" s="15" t="str">
        <f>IF(E31="","",IFERROR(INDEX(食材マスタ!$K$10:$K$309,MATCH(E31,食材マスタ!$C$10:$C$309,0)),""))</f>
        <v/>
      </c>
      <c r="J31" s="15" t="str">
        <f t="shared" si="0"/>
        <v/>
      </c>
      <c r="K31" s="20"/>
      <c r="L31" s="8" t="str">
        <f t="shared" si="1"/>
        <v/>
      </c>
      <c r="M31" s="9"/>
      <c r="N31" s="13" t="str">
        <f t="shared" si="2"/>
        <v/>
      </c>
      <c r="O31" s="22" t="str">
        <f t="shared" ca="1" si="3"/>
        <v/>
      </c>
      <c r="P31" s="17" t="str">
        <f t="shared" si="4"/>
        <v/>
      </c>
      <c r="Q31" s="11"/>
      <c r="R31" s="19"/>
      <c r="S31" s="19"/>
      <c r="U31">
        <f ca="1">IF(AND(ISNUMBER(O31),O31&lt;=設定!$C$4),1,0)</f>
        <v>0</v>
      </c>
      <c r="V31" t="str">
        <f ca="1">IF(U31=1,SUM($U$10:U31),"")</f>
        <v/>
      </c>
    </row>
    <row r="32" spans="2:22">
      <c r="B32" s="8" t="str">
        <f>IF(C32="","",COUNT($C$10:C32))</f>
        <v/>
      </c>
      <c r="C32" s="20"/>
      <c r="D32" s="11"/>
      <c r="E32" s="9"/>
      <c r="F32" s="21" t="str">
        <f>IF(E32="","",IFERROR(INDEX(食材マスタ!$D$10:$D$309,MATCH(E32,食材マスタ!$C$10:$C$309,0)),"※コード未登録"))</f>
        <v/>
      </c>
      <c r="G32" s="16"/>
      <c r="H32" s="8" t="str">
        <f>IF(E32="","",IFERROR(INDEX(食材マスタ!$H$10:$H$309,MATCH(E32,食材マスタ!$C$10:$C$309,0)),""))</f>
        <v/>
      </c>
      <c r="I32" s="15" t="str">
        <f>IF(E32="","",IFERROR(INDEX(食材マスタ!$K$10:$K$309,MATCH(E32,食材マスタ!$C$10:$C$309,0)),""))</f>
        <v/>
      </c>
      <c r="J32" s="15" t="str">
        <f t="shared" si="0"/>
        <v/>
      </c>
      <c r="K32" s="20"/>
      <c r="L32" s="8" t="str">
        <f t="shared" si="1"/>
        <v/>
      </c>
      <c r="M32" s="9"/>
      <c r="N32" s="13" t="str">
        <f t="shared" si="2"/>
        <v/>
      </c>
      <c r="O32" s="22" t="str">
        <f t="shared" ca="1" si="3"/>
        <v/>
      </c>
      <c r="P32" s="17" t="str">
        <f t="shared" si="4"/>
        <v/>
      </c>
      <c r="Q32" s="11"/>
      <c r="R32" s="19"/>
      <c r="S32" s="19"/>
      <c r="U32">
        <f ca="1">IF(AND(ISNUMBER(O32),O32&lt;=設定!$C$4),1,0)</f>
        <v>0</v>
      </c>
      <c r="V32" t="str">
        <f ca="1">IF(U32=1,SUM($U$10:U32),"")</f>
        <v/>
      </c>
    </row>
    <row r="33" spans="2:22">
      <c r="B33" s="8" t="str">
        <f>IF(C33="","",COUNT($C$10:C33))</f>
        <v/>
      </c>
      <c r="C33" s="20"/>
      <c r="D33" s="11"/>
      <c r="E33" s="9"/>
      <c r="F33" s="21" t="str">
        <f>IF(E33="","",IFERROR(INDEX(食材マスタ!$D$10:$D$309,MATCH(E33,食材マスタ!$C$10:$C$309,0)),"※コード未登録"))</f>
        <v/>
      </c>
      <c r="G33" s="16"/>
      <c r="H33" s="8" t="str">
        <f>IF(E33="","",IFERROR(INDEX(食材マスタ!$H$10:$H$309,MATCH(E33,食材マスタ!$C$10:$C$309,0)),""))</f>
        <v/>
      </c>
      <c r="I33" s="15" t="str">
        <f>IF(E33="","",IFERROR(INDEX(食材マスタ!$K$10:$K$309,MATCH(E33,食材マスタ!$C$10:$C$309,0)),""))</f>
        <v/>
      </c>
      <c r="J33" s="15" t="str">
        <f t="shared" si="0"/>
        <v/>
      </c>
      <c r="K33" s="20"/>
      <c r="L33" s="8" t="str">
        <f t="shared" si="1"/>
        <v/>
      </c>
      <c r="M33" s="9"/>
      <c r="N33" s="13" t="str">
        <f t="shared" si="2"/>
        <v/>
      </c>
      <c r="O33" s="22" t="str">
        <f t="shared" ca="1" si="3"/>
        <v/>
      </c>
      <c r="P33" s="17" t="str">
        <f t="shared" si="4"/>
        <v/>
      </c>
      <c r="Q33" s="11"/>
      <c r="R33" s="19"/>
      <c r="S33" s="19"/>
      <c r="U33">
        <f ca="1">IF(AND(ISNUMBER(O33),O33&lt;=設定!$C$4),1,0)</f>
        <v>0</v>
      </c>
      <c r="V33" t="str">
        <f ca="1">IF(U33=1,SUM($U$10:U33),"")</f>
        <v/>
      </c>
    </row>
    <row r="34" spans="2:22">
      <c r="B34" s="8" t="str">
        <f>IF(C34="","",COUNT($C$10:C34))</f>
        <v/>
      </c>
      <c r="C34" s="20"/>
      <c r="D34" s="11"/>
      <c r="E34" s="9"/>
      <c r="F34" s="21" t="str">
        <f>IF(E34="","",IFERROR(INDEX(食材マスタ!$D$10:$D$309,MATCH(E34,食材マスタ!$C$10:$C$309,0)),"※コード未登録"))</f>
        <v/>
      </c>
      <c r="G34" s="16"/>
      <c r="H34" s="8" t="str">
        <f>IF(E34="","",IFERROR(INDEX(食材マスタ!$H$10:$H$309,MATCH(E34,食材マスタ!$C$10:$C$309,0)),""))</f>
        <v/>
      </c>
      <c r="I34" s="15" t="str">
        <f>IF(E34="","",IFERROR(INDEX(食材マスタ!$K$10:$K$309,MATCH(E34,食材マスタ!$C$10:$C$309,0)),""))</f>
        <v/>
      </c>
      <c r="J34" s="15" t="str">
        <f t="shared" si="0"/>
        <v/>
      </c>
      <c r="K34" s="20"/>
      <c r="L34" s="8" t="str">
        <f t="shared" si="1"/>
        <v/>
      </c>
      <c r="M34" s="9"/>
      <c r="N34" s="13" t="str">
        <f t="shared" si="2"/>
        <v/>
      </c>
      <c r="O34" s="22" t="str">
        <f t="shared" ca="1" si="3"/>
        <v/>
      </c>
      <c r="P34" s="17" t="str">
        <f t="shared" si="4"/>
        <v/>
      </c>
      <c r="Q34" s="11"/>
      <c r="R34" s="19"/>
      <c r="S34" s="19"/>
      <c r="U34">
        <f ca="1">IF(AND(ISNUMBER(O34),O34&lt;=設定!$C$4),1,0)</f>
        <v>0</v>
      </c>
      <c r="V34" t="str">
        <f ca="1">IF(U34=1,SUM($U$10:U34),"")</f>
        <v/>
      </c>
    </row>
    <row r="35" spans="2:22">
      <c r="B35" s="8" t="str">
        <f>IF(C35="","",COUNT($C$10:C35))</f>
        <v/>
      </c>
      <c r="C35" s="20"/>
      <c r="D35" s="11"/>
      <c r="E35" s="9"/>
      <c r="F35" s="21" t="str">
        <f>IF(E35="","",IFERROR(INDEX(食材マスタ!$D$10:$D$309,MATCH(E35,食材マスタ!$C$10:$C$309,0)),"※コード未登録"))</f>
        <v/>
      </c>
      <c r="G35" s="16"/>
      <c r="H35" s="8" t="str">
        <f>IF(E35="","",IFERROR(INDEX(食材マスタ!$H$10:$H$309,MATCH(E35,食材マスタ!$C$10:$C$309,0)),""))</f>
        <v/>
      </c>
      <c r="I35" s="15" t="str">
        <f>IF(E35="","",IFERROR(INDEX(食材マスタ!$K$10:$K$309,MATCH(E35,食材マスタ!$C$10:$C$309,0)),""))</f>
        <v/>
      </c>
      <c r="J35" s="15" t="str">
        <f t="shared" si="0"/>
        <v/>
      </c>
      <c r="K35" s="20"/>
      <c r="L35" s="8" t="str">
        <f t="shared" si="1"/>
        <v/>
      </c>
      <c r="M35" s="9"/>
      <c r="N35" s="13" t="str">
        <f t="shared" si="2"/>
        <v/>
      </c>
      <c r="O35" s="22" t="str">
        <f t="shared" ca="1" si="3"/>
        <v/>
      </c>
      <c r="P35" s="17" t="str">
        <f t="shared" si="4"/>
        <v/>
      </c>
      <c r="Q35" s="11"/>
      <c r="R35" s="19"/>
      <c r="S35" s="19"/>
      <c r="U35">
        <f ca="1">IF(AND(ISNUMBER(O35),O35&lt;=設定!$C$4),1,0)</f>
        <v>0</v>
      </c>
      <c r="V35" t="str">
        <f ca="1">IF(U35=1,SUM($U$10:U35),"")</f>
        <v/>
      </c>
    </row>
    <row r="36" spans="2:22">
      <c r="B36" s="8" t="str">
        <f>IF(C36="","",COUNT($C$10:C36))</f>
        <v/>
      </c>
      <c r="C36" s="20"/>
      <c r="D36" s="11"/>
      <c r="E36" s="9"/>
      <c r="F36" s="21" t="str">
        <f>IF(E36="","",IFERROR(INDEX(食材マスタ!$D$10:$D$309,MATCH(E36,食材マスタ!$C$10:$C$309,0)),"※コード未登録"))</f>
        <v/>
      </c>
      <c r="G36" s="16"/>
      <c r="H36" s="8" t="str">
        <f>IF(E36="","",IFERROR(INDEX(食材マスタ!$H$10:$H$309,MATCH(E36,食材マスタ!$C$10:$C$309,0)),""))</f>
        <v/>
      </c>
      <c r="I36" s="15" t="str">
        <f>IF(E36="","",IFERROR(INDEX(食材マスタ!$K$10:$K$309,MATCH(E36,食材マスタ!$C$10:$C$309,0)),""))</f>
        <v/>
      </c>
      <c r="J36" s="15" t="str">
        <f t="shared" si="0"/>
        <v/>
      </c>
      <c r="K36" s="20"/>
      <c r="L36" s="8" t="str">
        <f t="shared" si="1"/>
        <v/>
      </c>
      <c r="M36" s="9"/>
      <c r="N36" s="13" t="str">
        <f t="shared" si="2"/>
        <v/>
      </c>
      <c r="O36" s="22" t="str">
        <f t="shared" ca="1" si="3"/>
        <v/>
      </c>
      <c r="P36" s="17" t="str">
        <f t="shared" si="4"/>
        <v/>
      </c>
      <c r="Q36" s="11"/>
      <c r="R36" s="19"/>
      <c r="S36" s="19"/>
      <c r="U36">
        <f ca="1">IF(AND(ISNUMBER(O36),O36&lt;=設定!$C$4),1,0)</f>
        <v>0</v>
      </c>
      <c r="V36" t="str">
        <f ca="1">IF(U36=1,SUM($U$10:U36),"")</f>
        <v/>
      </c>
    </row>
    <row r="37" spans="2:22">
      <c r="B37" s="8" t="str">
        <f>IF(C37="","",COUNT($C$10:C37))</f>
        <v/>
      </c>
      <c r="C37" s="20"/>
      <c r="D37" s="11"/>
      <c r="E37" s="9"/>
      <c r="F37" s="21" t="str">
        <f>IF(E37="","",IFERROR(INDEX(食材マスタ!$D$10:$D$309,MATCH(E37,食材マスタ!$C$10:$C$309,0)),"※コード未登録"))</f>
        <v/>
      </c>
      <c r="G37" s="16"/>
      <c r="H37" s="8" t="str">
        <f>IF(E37="","",IFERROR(INDEX(食材マスタ!$H$10:$H$309,MATCH(E37,食材マスタ!$C$10:$C$309,0)),""))</f>
        <v/>
      </c>
      <c r="I37" s="15" t="str">
        <f>IF(E37="","",IFERROR(INDEX(食材マスタ!$K$10:$K$309,MATCH(E37,食材マスタ!$C$10:$C$309,0)),""))</f>
        <v/>
      </c>
      <c r="J37" s="15" t="str">
        <f t="shared" si="0"/>
        <v/>
      </c>
      <c r="K37" s="20"/>
      <c r="L37" s="8" t="str">
        <f t="shared" si="1"/>
        <v/>
      </c>
      <c r="M37" s="9"/>
      <c r="N37" s="13" t="str">
        <f t="shared" si="2"/>
        <v/>
      </c>
      <c r="O37" s="22" t="str">
        <f t="shared" ca="1" si="3"/>
        <v/>
      </c>
      <c r="P37" s="17" t="str">
        <f t="shared" si="4"/>
        <v/>
      </c>
      <c r="Q37" s="11"/>
      <c r="R37" s="19"/>
      <c r="S37" s="19"/>
      <c r="U37">
        <f ca="1">IF(AND(ISNUMBER(O37),O37&lt;=設定!$C$4),1,0)</f>
        <v>0</v>
      </c>
      <c r="V37" t="str">
        <f ca="1">IF(U37=1,SUM($U$10:U37),"")</f>
        <v/>
      </c>
    </row>
    <row r="38" spans="2:22">
      <c r="B38" s="8" t="str">
        <f>IF(C38="","",COUNT($C$10:C38))</f>
        <v/>
      </c>
      <c r="C38" s="20"/>
      <c r="D38" s="11"/>
      <c r="E38" s="9"/>
      <c r="F38" s="21" t="str">
        <f>IF(E38="","",IFERROR(INDEX(食材マスタ!$D$10:$D$309,MATCH(E38,食材マスタ!$C$10:$C$309,0)),"※コード未登録"))</f>
        <v/>
      </c>
      <c r="G38" s="16"/>
      <c r="H38" s="8" t="str">
        <f>IF(E38="","",IFERROR(INDEX(食材マスタ!$H$10:$H$309,MATCH(E38,食材マスタ!$C$10:$C$309,0)),""))</f>
        <v/>
      </c>
      <c r="I38" s="15" t="str">
        <f>IF(E38="","",IFERROR(INDEX(食材マスタ!$K$10:$K$309,MATCH(E38,食材マスタ!$C$10:$C$309,0)),""))</f>
        <v/>
      </c>
      <c r="J38" s="15" t="str">
        <f t="shared" si="0"/>
        <v/>
      </c>
      <c r="K38" s="20"/>
      <c r="L38" s="8" t="str">
        <f t="shared" si="1"/>
        <v/>
      </c>
      <c r="M38" s="9"/>
      <c r="N38" s="13" t="str">
        <f t="shared" si="2"/>
        <v/>
      </c>
      <c r="O38" s="22" t="str">
        <f t="shared" ca="1" si="3"/>
        <v/>
      </c>
      <c r="P38" s="17" t="str">
        <f t="shared" si="4"/>
        <v/>
      </c>
      <c r="Q38" s="11"/>
      <c r="R38" s="19"/>
      <c r="S38" s="19"/>
      <c r="U38">
        <f ca="1">IF(AND(ISNUMBER(O38),O38&lt;=設定!$C$4),1,0)</f>
        <v>0</v>
      </c>
      <c r="V38" t="str">
        <f ca="1">IF(U38=1,SUM($U$10:U38),"")</f>
        <v/>
      </c>
    </row>
    <row r="39" spans="2:22">
      <c r="B39" s="8" t="str">
        <f>IF(C39="","",COUNT($C$10:C39))</f>
        <v/>
      </c>
      <c r="C39" s="20"/>
      <c r="D39" s="11"/>
      <c r="E39" s="9"/>
      <c r="F39" s="21" t="str">
        <f>IF(E39="","",IFERROR(INDEX(食材マスタ!$D$10:$D$309,MATCH(E39,食材マスタ!$C$10:$C$309,0)),"※コード未登録"))</f>
        <v/>
      </c>
      <c r="G39" s="16"/>
      <c r="H39" s="8" t="str">
        <f>IF(E39="","",IFERROR(INDEX(食材マスタ!$H$10:$H$309,MATCH(E39,食材マスタ!$C$10:$C$309,0)),""))</f>
        <v/>
      </c>
      <c r="I39" s="15" t="str">
        <f>IF(E39="","",IFERROR(INDEX(食材マスタ!$K$10:$K$309,MATCH(E39,食材マスタ!$C$10:$C$309,0)),""))</f>
        <v/>
      </c>
      <c r="J39" s="15" t="str">
        <f t="shared" si="0"/>
        <v/>
      </c>
      <c r="K39" s="20"/>
      <c r="L39" s="8" t="str">
        <f t="shared" si="1"/>
        <v/>
      </c>
      <c r="M39" s="9"/>
      <c r="N39" s="13" t="str">
        <f t="shared" si="2"/>
        <v/>
      </c>
      <c r="O39" s="22" t="str">
        <f t="shared" ca="1" si="3"/>
        <v/>
      </c>
      <c r="P39" s="17" t="str">
        <f t="shared" si="4"/>
        <v/>
      </c>
      <c r="Q39" s="11"/>
      <c r="R39" s="19"/>
      <c r="S39" s="19"/>
      <c r="U39">
        <f ca="1">IF(AND(ISNUMBER(O39),O39&lt;=設定!$C$4),1,0)</f>
        <v>0</v>
      </c>
      <c r="V39" t="str">
        <f ca="1">IF(U39=1,SUM($U$10:U39),"")</f>
        <v/>
      </c>
    </row>
    <row r="40" spans="2:22">
      <c r="B40" s="8" t="str">
        <f>IF(C40="","",COUNT($C$10:C40))</f>
        <v/>
      </c>
      <c r="C40" s="20"/>
      <c r="D40" s="11"/>
      <c r="E40" s="9"/>
      <c r="F40" s="21" t="str">
        <f>IF(E40="","",IFERROR(INDEX(食材マスタ!$D$10:$D$309,MATCH(E40,食材マスタ!$C$10:$C$309,0)),"※コード未登録"))</f>
        <v/>
      </c>
      <c r="G40" s="16"/>
      <c r="H40" s="8" t="str">
        <f>IF(E40="","",IFERROR(INDEX(食材マスタ!$H$10:$H$309,MATCH(E40,食材マスタ!$C$10:$C$309,0)),""))</f>
        <v/>
      </c>
      <c r="I40" s="15" t="str">
        <f>IF(E40="","",IFERROR(INDEX(食材マスタ!$K$10:$K$309,MATCH(E40,食材マスタ!$C$10:$C$309,0)),""))</f>
        <v/>
      </c>
      <c r="J40" s="15" t="str">
        <f t="shared" si="0"/>
        <v/>
      </c>
      <c r="K40" s="20"/>
      <c r="L40" s="8" t="str">
        <f t="shared" si="1"/>
        <v/>
      </c>
      <c r="M40" s="9"/>
      <c r="N40" s="13" t="str">
        <f t="shared" si="2"/>
        <v/>
      </c>
      <c r="O40" s="22" t="str">
        <f t="shared" ca="1" si="3"/>
        <v/>
      </c>
      <c r="P40" s="17" t="str">
        <f t="shared" si="4"/>
        <v/>
      </c>
      <c r="Q40" s="11"/>
      <c r="R40" s="19"/>
      <c r="S40" s="19"/>
      <c r="U40">
        <f ca="1">IF(AND(ISNUMBER(O40),O40&lt;=設定!$C$4),1,0)</f>
        <v>0</v>
      </c>
      <c r="V40" t="str">
        <f ca="1">IF(U40=1,SUM($U$10:U40),"")</f>
        <v/>
      </c>
    </row>
    <row r="41" spans="2:22">
      <c r="B41" s="8" t="str">
        <f>IF(C41="","",COUNT($C$10:C41))</f>
        <v/>
      </c>
      <c r="C41" s="20"/>
      <c r="D41" s="11"/>
      <c r="E41" s="9"/>
      <c r="F41" s="21" t="str">
        <f>IF(E41="","",IFERROR(INDEX(食材マスタ!$D$10:$D$309,MATCH(E41,食材マスタ!$C$10:$C$309,0)),"※コード未登録"))</f>
        <v/>
      </c>
      <c r="G41" s="16"/>
      <c r="H41" s="8" t="str">
        <f>IF(E41="","",IFERROR(INDEX(食材マスタ!$H$10:$H$309,MATCH(E41,食材マスタ!$C$10:$C$309,0)),""))</f>
        <v/>
      </c>
      <c r="I41" s="15" t="str">
        <f>IF(E41="","",IFERROR(INDEX(食材マスタ!$K$10:$K$309,MATCH(E41,食材マスタ!$C$10:$C$309,0)),""))</f>
        <v/>
      </c>
      <c r="J41" s="15" t="str">
        <f t="shared" si="0"/>
        <v/>
      </c>
      <c r="K41" s="20"/>
      <c r="L41" s="8" t="str">
        <f t="shared" si="1"/>
        <v/>
      </c>
      <c r="M41" s="9"/>
      <c r="N41" s="13" t="str">
        <f t="shared" si="2"/>
        <v/>
      </c>
      <c r="O41" s="22" t="str">
        <f t="shared" ca="1" si="3"/>
        <v/>
      </c>
      <c r="P41" s="17" t="str">
        <f t="shared" si="4"/>
        <v/>
      </c>
      <c r="Q41" s="11"/>
      <c r="R41" s="19"/>
      <c r="S41" s="19"/>
      <c r="U41">
        <f ca="1">IF(AND(ISNUMBER(O41),O41&lt;=設定!$C$4),1,0)</f>
        <v>0</v>
      </c>
      <c r="V41" t="str">
        <f ca="1">IF(U41=1,SUM($U$10:U41),"")</f>
        <v/>
      </c>
    </row>
    <row r="42" spans="2:22">
      <c r="B42" s="8" t="str">
        <f>IF(C42="","",COUNT($C$10:C42))</f>
        <v/>
      </c>
      <c r="C42" s="20"/>
      <c r="D42" s="11"/>
      <c r="E42" s="9"/>
      <c r="F42" s="21" t="str">
        <f>IF(E42="","",IFERROR(INDEX(食材マスタ!$D$10:$D$309,MATCH(E42,食材マスタ!$C$10:$C$309,0)),"※コード未登録"))</f>
        <v/>
      </c>
      <c r="G42" s="16"/>
      <c r="H42" s="8" t="str">
        <f>IF(E42="","",IFERROR(INDEX(食材マスタ!$H$10:$H$309,MATCH(E42,食材マスタ!$C$10:$C$309,0)),""))</f>
        <v/>
      </c>
      <c r="I42" s="15" t="str">
        <f>IF(E42="","",IFERROR(INDEX(食材マスタ!$K$10:$K$309,MATCH(E42,食材マスタ!$C$10:$C$309,0)),""))</f>
        <v/>
      </c>
      <c r="J42" s="15" t="str">
        <f t="shared" si="0"/>
        <v/>
      </c>
      <c r="K42" s="20"/>
      <c r="L42" s="8" t="str">
        <f t="shared" si="1"/>
        <v/>
      </c>
      <c r="M42" s="9"/>
      <c r="N42" s="13" t="str">
        <f t="shared" si="2"/>
        <v/>
      </c>
      <c r="O42" s="22" t="str">
        <f t="shared" ca="1" si="3"/>
        <v/>
      </c>
      <c r="P42" s="17" t="str">
        <f t="shared" si="4"/>
        <v/>
      </c>
      <c r="Q42" s="11"/>
      <c r="R42" s="19"/>
      <c r="S42" s="19"/>
      <c r="U42">
        <f ca="1">IF(AND(ISNUMBER(O42),O42&lt;=設定!$C$4),1,0)</f>
        <v>0</v>
      </c>
      <c r="V42" t="str">
        <f ca="1">IF(U42=1,SUM($U$10:U42),"")</f>
        <v/>
      </c>
    </row>
    <row r="43" spans="2:22">
      <c r="B43" s="8" t="str">
        <f>IF(C43="","",COUNT($C$10:C43))</f>
        <v/>
      </c>
      <c r="C43" s="20"/>
      <c r="D43" s="11"/>
      <c r="E43" s="9"/>
      <c r="F43" s="21" t="str">
        <f>IF(E43="","",IFERROR(INDEX(食材マスタ!$D$10:$D$309,MATCH(E43,食材マスタ!$C$10:$C$309,0)),"※コード未登録"))</f>
        <v/>
      </c>
      <c r="G43" s="16"/>
      <c r="H43" s="8" t="str">
        <f>IF(E43="","",IFERROR(INDEX(食材マスタ!$H$10:$H$309,MATCH(E43,食材マスタ!$C$10:$C$309,0)),""))</f>
        <v/>
      </c>
      <c r="I43" s="15" t="str">
        <f>IF(E43="","",IFERROR(INDEX(食材マスタ!$K$10:$K$309,MATCH(E43,食材マスタ!$C$10:$C$309,0)),""))</f>
        <v/>
      </c>
      <c r="J43" s="15" t="str">
        <f t="shared" si="0"/>
        <v/>
      </c>
      <c r="K43" s="20"/>
      <c r="L43" s="8" t="str">
        <f t="shared" si="1"/>
        <v/>
      </c>
      <c r="M43" s="9"/>
      <c r="N43" s="13" t="str">
        <f t="shared" si="2"/>
        <v/>
      </c>
      <c r="O43" s="22" t="str">
        <f t="shared" ca="1" si="3"/>
        <v/>
      </c>
      <c r="P43" s="17" t="str">
        <f t="shared" si="4"/>
        <v/>
      </c>
      <c r="Q43" s="11"/>
      <c r="R43" s="19"/>
      <c r="S43" s="19"/>
      <c r="U43">
        <f ca="1">IF(AND(ISNUMBER(O43),O43&lt;=設定!$C$4),1,0)</f>
        <v>0</v>
      </c>
      <c r="V43" t="str">
        <f ca="1">IF(U43=1,SUM($U$10:U43),"")</f>
        <v/>
      </c>
    </row>
    <row r="44" spans="2:22">
      <c r="B44" s="8" t="str">
        <f>IF(C44="","",COUNT($C$10:C44))</f>
        <v/>
      </c>
      <c r="C44" s="20"/>
      <c r="D44" s="11"/>
      <c r="E44" s="9"/>
      <c r="F44" s="21" t="str">
        <f>IF(E44="","",IFERROR(INDEX(食材マスタ!$D$10:$D$309,MATCH(E44,食材マスタ!$C$10:$C$309,0)),"※コード未登録"))</f>
        <v/>
      </c>
      <c r="G44" s="16"/>
      <c r="H44" s="8" t="str">
        <f>IF(E44="","",IFERROR(INDEX(食材マスタ!$H$10:$H$309,MATCH(E44,食材マスタ!$C$10:$C$309,0)),""))</f>
        <v/>
      </c>
      <c r="I44" s="15" t="str">
        <f>IF(E44="","",IFERROR(INDEX(食材マスタ!$K$10:$K$309,MATCH(E44,食材マスタ!$C$10:$C$309,0)),""))</f>
        <v/>
      </c>
      <c r="J44" s="15" t="str">
        <f t="shared" si="0"/>
        <v/>
      </c>
      <c r="K44" s="20"/>
      <c r="L44" s="8" t="str">
        <f t="shared" si="1"/>
        <v/>
      </c>
      <c r="M44" s="9"/>
      <c r="N44" s="13" t="str">
        <f t="shared" si="2"/>
        <v/>
      </c>
      <c r="O44" s="22" t="str">
        <f t="shared" ca="1" si="3"/>
        <v/>
      </c>
      <c r="P44" s="17" t="str">
        <f t="shared" si="4"/>
        <v/>
      </c>
      <c r="Q44" s="11"/>
      <c r="R44" s="19"/>
      <c r="S44" s="19"/>
      <c r="U44">
        <f ca="1">IF(AND(ISNUMBER(O44),O44&lt;=設定!$C$4),1,0)</f>
        <v>0</v>
      </c>
      <c r="V44" t="str">
        <f ca="1">IF(U44=1,SUM($U$10:U44),"")</f>
        <v/>
      </c>
    </row>
    <row r="45" spans="2:22">
      <c r="B45" s="8" t="str">
        <f>IF(C45="","",COUNT($C$10:C45))</f>
        <v/>
      </c>
      <c r="C45" s="20"/>
      <c r="D45" s="11"/>
      <c r="E45" s="9"/>
      <c r="F45" s="21" t="str">
        <f>IF(E45="","",IFERROR(INDEX(食材マスタ!$D$10:$D$309,MATCH(E45,食材マスタ!$C$10:$C$309,0)),"※コード未登録"))</f>
        <v/>
      </c>
      <c r="G45" s="16"/>
      <c r="H45" s="8" t="str">
        <f>IF(E45="","",IFERROR(INDEX(食材マスタ!$H$10:$H$309,MATCH(E45,食材マスタ!$C$10:$C$309,0)),""))</f>
        <v/>
      </c>
      <c r="I45" s="15" t="str">
        <f>IF(E45="","",IFERROR(INDEX(食材マスタ!$K$10:$K$309,MATCH(E45,食材マスタ!$C$10:$C$309,0)),""))</f>
        <v/>
      </c>
      <c r="J45" s="15" t="str">
        <f t="shared" si="0"/>
        <v/>
      </c>
      <c r="K45" s="20"/>
      <c r="L45" s="8" t="str">
        <f t="shared" si="1"/>
        <v/>
      </c>
      <c r="M45" s="9"/>
      <c r="N45" s="13" t="str">
        <f t="shared" si="2"/>
        <v/>
      </c>
      <c r="O45" s="22" t="str">
        <f t="shared" ca="1" si="3"/>
        <v/>
      </c>
      <c r="P45" s="17" t="str">
        <f t="shared" si="4"/>
        <v/>
      </c>
      <c r="Q45" s="11"/>
      <c r="R45" s="19"/>
      <c r="S45" s="19"/>
      <c r="U45">
        <f ca="1">IF(AND(ISNUMBER(O45),O45&lt;=設定!$C$4),1,0)</f>
        <v>0</v>
      </c>
      <c r="V45" t="str">
        <f ca="1">IF(U45=1,SUM($U$10:U45),"")</f>
        <v/>
      </c>
    </row>
    <row r="46" spans="2:22">
      <c r="B46" s="8" t="str">
        <f>IF(C46="","",COUNT($C$10:C46))</f>
        <v/>
      </c>
      <c r="C46" s="20"/>
      <c r="D46" s="11"/>
      <c r="E46" s="9"/>
      <c r="F46" s="21" t="str">
        <f>IF(E46="","",IFERROR(INDEX(食材マスタ!$D$10:$D$309,MATCH(E46,食材マスタ!$C$10:$C$309,0)),"※コード未登録"))</f>
        <v/>
      </c>
      <c r="G46" s="16"/>
      <c r="H46" s="8" t="str">
        <f>IF(E46="","",IFERROR(INDEX(食材マスタ!$H$10:$H$309,MATCH(E46,食材マスタ!$C$10:$C$309,0)),""))</f>
        <v/>
      </c>
      <c r="I46" s="15" t="str">
        <f>IF(E46="","",IFERROR(INDEX(食材マスタ!$K$10:$K$309,MATCH(E46,食材マスタ!$C$10:$C$309,0)),""))</f>
        <v/>
      </c>
      <c r="J46" s="15" t="str">
        <f t="shared" si="0"/>
        <v/>
      </c>
      <c r="K46" s="20"/>
      <c r="L46" s="8" t="str">
        <f t="shared" si="1"/>
        <v/>
      </c>
      <c r="M46" s="9"/>
      <c r="N46" s="13" t="str">
        <f t="shared" si="2"/>
        <v/>
      </c>
      <c r="O46" s="22" t="str">
        <f t="shared" ca="1" si="3"/>
        <v/>
      </c>
      <c r="P46" s="17" t="str">
        <f t="shared" si="4"/>
        <v/>
      </c>
      <c r="Q46" s="11"/>
      <c r="R46" s="19"/>
      <c r="S46" s="19"/>
      <c r="U46">
        <f ca="1">IF(AND(ISNUMBER(O46),O46&lt;=設定!$C$4),1,0)</f>
        <v>0</v>
      </c>
      <c r="V46" t="str">
        <f ca="1">IF(U46=1,SUM($U$10:U46),"")</f>
        <v/>
      </c>
    </row>
    <row r="47" spans="2:22">
      <c r="B47" s="8" t="str">
        <f>IF(C47="","",COUNT($C$10:C47))</f>
        <v/>
      </c>
      <c r="C47" s="20"/>
      <c r="D47" s="11"/>
      <c r="E47" s="9"/>
      <c r="F47" s="21" t="str">
        <f>IF(E47="","",IFERROR(INDEX(食材マスタ!$D$10:$D$309,MATCH(E47,食材マスタ!$C$10:$C$309,0)),"※コード未登録"))</f>
        <v/>
      </c>
      <c r="G47" s="16"/>
      <c r="H47" s="8" t="str">
        <f>IF(E47="","",IFERROR(INDEX(食材マスタ!$H$10:$H$309,MATCH(E47,食材マスタ!$C$10:$C$309,0)),""))</f>
        <v/>
      </c>
      <c r="I47" s="15" t="str">
        <f>IF(E47="","",IFERROR(INDEX(食材マスタ!$K$10:$K$309,MATCH(E47,食材マスタ!$C$10:$C$309,0)),""))</f>
        <v/>
      </c>
      <c r="J47" s="15" t="str">
        <f t="shared" si="0"/>
        <v/>
      </c>
      <c r="K47" s="20"/>
      <c r="L47" s="8" t="str">
        <f t="shared" si="1"/>
        <v/>
      </c>
      <c r="M47" s="9"/>
      <c r="N47" s="13" t="str">
        <f t="shared" si="2"/>
        <v/>
      </c>
      <c r="O47" s="22" t="str">
        <f t="shared" ca="1" si="3"/>
        <v/>
      </c>
      <c r="P47" s="17" t="str">
        <f t="shared" si="4"/>
        <v/>
      </c>
      <c r="Q47" s="11"/>
      <c r="R47" s="19"/>
      <c r="S47" s="19"/>
      <c r="U47">
        <f ca="1">IF(AND(ISNUMBER(O47),O47&lt;=設定!$C$4),1,0)</f>
        <v>0</v>
      </c>
      <c r="V47" t="str">
        <f ca="1">IF(U47=1,SUM($U$10:U47),"")</f>
        <v/>
      </c>
    </row>
    <row r="48" spans="2:22">
      <c r="B48" s="8" t="str">
        <f>IF(C48="","",COUNT($C$10:C48))</f>
        <v/>
      </c>
      <c r="C48" s="20"/>
      <c r="D48" s="11"/>
      <c r="E48" s="9"/>
      <c r="F48" s="21" t="str">
        <f>IF(E48="","",IFERROR(INDEX(食材マスタ!$D$10:$D$309,MATCH(E48,食材マスタ!$C$10:$C$309,0)),"※コード未登録"))</f>
        <v/>
      </c>
      <c r="G48" s="16"/>
      <c r="H48" s="8" t="str">
        <f>IF(E48="","",IFERROR(INDEX(食材マスタ!$H$10:$H$309,MATCH(E48,食材マスタ!$C$10:$C$309,0)),""))</f>
        <v/>
      </c>
      <c r="I48" s="15" t="str">
        <f>IF(E48="","",IFERROR(INDEX(食材マスタ!$K$10:$K$309,MATCH(E48,食材マスタ!$C$10:$C$309,0)),""))</f>
        <v/>
      </c>
      <c r="J48" s="15" t="str">
        <f t="shared" si="0"/>
        <v/>
      </c>
      <c r="K48" s="20"/>
      <c r="L48" s="8" t="str">
        <f t="shared" si="1"/>
        <v/>
      </c>
      <c r="M48" s="9"/>
      <c r="N48" s="13" t="str">
        <f t="shared" si="2"/>
        <v/>
      </c>
      <c r="O48" s="22" t="str">
        <f t="shared" ca="1" si="3"/>
        <v/>
      </c>
      <c r="P48" s="17" t="str">
        <f t="shared" si="4"/>
        <v/>
      </c>
      <c r="Q48" s="11"/>
      <c r="R48" s="19"/>
      <c r="S48" s="19"/>
      <c r="U48">
        <f ca="1">IF(AND(ISNUMBER(O48),O48&lt;=設定!$C$4),1,0)</f>
        <v>0</v>
      </c>
      <c r="V48" t="str">
        <f ca="1">IF(U48=1,SUM($U$10:U48),"")</f>
        <v/>
      </c>
    </row>
    <row r="49" spans="2:22">
      <c r="B49" s="8" t="str">
        <f>IF(C49="","",COUNT($C$10:C49))</f>
        <v/>
      </c>
      <c r="C49" s="20"/>
      <c r="D49" s="11"/>
      <c r="E49" s="9"/>
      <c r="F49" s="21" t="str">
        <f>IF(E49="","",IFERROR(INDEX(食材マスタ!$D$10:$D$309,MATCH(E49,食材マスタ!$C$10:$C$309,0)),"※コード未登録"))</f>
        <v/>
      </c>
      <c r="G49" s="16"/>
      <c r="H49" s="8" t="str">
        <f>IF(E49="","",IFERROR(INDEX(食材マスタ!$H$10:$H$309,MATCH(E49,食材マスタ!$C$10:$C$309,0)),""))</f>
        <v/>
      </c>
      <c r="I49" s="15" t="str">
        <f>IF(E49="","",IFERROR(INDEX(食材マスタ!$K$10:$K$309,MATCH(E49,食材マスタ!$C$10:$C$309,0)),""))</f>
        <v/>
      </c>
      <c r="J49" s="15" t="str">
        <f t="shared" si="0"/>
        <v/>
      </c>
      <c r="K49" s="20"/>
      <c r="L49" s="8" t="str">
        <f t="shared" si="1"/>
        <v/>
      </c>
      <c r="M49" s="9"/>
      <c r="N49" s="13" t="str">
        <f t="shared" si="2"/>
        <v/>
      </c>
      <c r="O49" s="22" t="str">
        <f t="shared" ca="1" si="3"/>
        <v/>
      </c>
      <c r="P49" s="17" t="str">
        <f t="shared" si="4"/>
        <v/>
      </c>
      <c r="Q49" s="11"/>
      <c r="R49" s="19"/>
      <c r="S49" s="19"/>
      <c r="U49">
        <f ca="1">IF(AND(ISNUMBER(O49),O49&lt;=設定!$C$4),1,0)</f>
        <v>0</v>
      </c>
      <c r="V49" t="str">
        <f ca="1">IF(U49=1,SUM($U$10:U49),"")</f>
        <v/>
      </c>
    </row>
    <row r="50" spans="2:22">
      <c r="B50" s="8" t="str">
        <f>IF(C50="","",COUNT($C$10:C50))</f>
        <v/>
      </c>
      <c r="C50" s="20"/>
      <c r="D50" s="11"/>
      <c r="E50" s="9"/>
      <c r="F50" s="21" t="str">
        <f>IF(E50="","",IFERROR(INDEX(食材マスタ!$D$10:$D$309,MATCH(E50,食材マスタ!$C$10:$C$309,0)),"※コード未登録"))</f>
        <v/>
      </c>
      <c r="G50" s="16"/>
      <c r="H50" s="8" t="str">
        <f>IF(E50="","",IFERROR(INDEX(食材マスタ!$H$10:$H$309,MATCH(E50,食材マスタ!$C$10:$C$309,0)),""))</f>
        <v/>
      </c>
      <c r="I50" s="15" t="str">
        <f>IF(E50="","",IFERROR(INDEX(食材マスタ!$K$10:$K$309,MATCH(E50,食材マスタ!$C$10:$C$309,0)),""))</f>
        <v/>
      </c>
      <c r="J50" s="15" t="str">
        <f t="shared" si="0"/>
        <v/>
      </c>
      <c r="K50" s="20"/>
      <c r="L50" s="8" t="str">
        <f t="shared" si="1"/>
        <v/>
      </c>
      <c r="M50" s="9"/>
      <c r="N50" s="13" t="str">
        <f t="shared" si="2"/>
        <v/>
      </c>
      <c r="O50" s="22" t="str">
        <f t="shared" ca="1" si="3"/>
        <v/>
      </c>
      <c r="P50" s="17" t="str">
        <f t="shared" si="4"/>
        <v/>
      </c>
      <c r="Q50" s="11"/>
      <c r="R50" s="19"/>
      <c r="S50" s="19"/>
      <c r="U50">
        <f ca="1">IF(AND(ISNUMBER(O50),O50&lt;=設定!$C$4),1,0)</f>
        <v>0</v>
      </c>
      <c r="V50" t="str">
        <f ca="1">IF(U50=1,SUM($U$10:U50),"")</f>
        <v/>
      </c>
    </row>
    <row r="51" spans="2:22">
      <c r="B51" s="8" t="str">
        <f>IF(C51="","",COUNT($C$10:C51))</f>
        <v/>
      </c>
      <c r="C51" s="20"/>
      <c r="D51" s="11"/>
      <c r="E51" s="9"/>
      <c r="F51" s="21" t="str">
        <f>IF(E51="","",IFERROR(INDEX(食材マスタ!$D$10:$D$309,MATCH(E51,食材マスタ!$C$10:$C$309,0)),"※コード未登録"))</f>
        <v/>
      </c>
      <c r="G51" s="16"/>
      <c r="H51" s="8" t="str">
        <f>IF(E51="","",IFERROR(INDEX(食材マスタ!$H$10:$H$309,MATCH(E51,食材マスタ!$C$10:$C$309,0)),""))</f>
        <v/>
      </c>
      <c r="I51" s="15" t="str">
        <f>IF(E51="","",IFERROR(INDEX(食材マスタ!$K$10:$K$309,MATCH(E51,食材マスタ!$C$10:$C$309,0)),""))</f>
        <v/>
      </c>
      <c r="J51" s="15" t="str">
        <f t="shared" si="0"/>
        <v/>
      </c>
      <c r="K51" s="20"/>
      <c r="L51" s="8" t="str">
        <f t="shared" si="1"/>
        <v/>
      </c>
      <c r="M51" s="9"/>
      <c r="N51" s="13" t="str">
        <f t="shared" si="2"/>
        <v/>
      </c>
      <c r="O51" s="22" t="str">
        <f t="shared" ca="1" si="3"/>
        <v/>
      </c>
      <c r="P51" s="17" t="str">
        <f t="shared" si="4"/>
        <v/>
      </c>
      <c r="Q51" s="11"/>
      <c r="R51" s="19"/>
      <c r="S51" s="19"/>
      <c r="U51">
        <f ca="1">IF(AND(ISNUMBER(O51),O51&lt;=設定!$C$4),1,0)</f>
        <v>0</v>
      </c>
      <c r="V51" t="str">
        <f ca="1">IF(U51=1,SUM($U$10:U51),"")</f>
        <v/>
      </c>
    </row>
    <row r="52" spans="2:22">
      <c r="B52" s="8" t="str">
        <f>IF(C52="","",COUNT($C$10:C52))</f>
        <v/>
      </c>
      <c r="C52" s="20"/>
      <c r="D52" s="11"/>
      <c r="E52" s="9"/>
      <c r="F52" s="21" t="str">
        <f>IF(E52="","",IFERROR(INDEX(食材マスタ!$D$10:$D$309,MATCH(E52,食材マスタ!$C$10:$C$309,0)),"※コード未登録"))</f>
        <v/>
      </c>
      <c r="G52" s="16"/>
      <c r="H52" s="8" t="str">
        <f>IF(E52="","",IFERROR(INDEX(食材マスタ!$H$10:$H$309,MATCH(E52,食材マスタ!$C$10:$C$309,0)),""))</f>
        <v/>
      </c>
      <c r="I52" s="15" t="str">
        <f>IF(E52="","",IFERROR(INDEX(食材マスタ!$K$10:$K$309,MATCH(E52,食材マスタ!$C$10:$C$309,0)),""))</f>
        <v/>
      </c>
      <c r="J52" s="15" t="str">
        <f t="shared" si="0"/>
        <v/>
      </c>
      <c r="K52" s="20"/>
      <c r="L52" s="8" t="str">
        <f t="shared" si="1"/>
        <v/>
      </c>
      <c r="M52" s="9"/>
      <c r="N52" s="13" t="str">
        <f t="shared" si="2"/>
        <v/>
      </c>
      <c r="O52" s="22" t="str">
        <f t="shared" ca="1" si="3"/>
        <v/>
      </c>
      <c r="P52" s="17" t="str">
        <f t="shared" si="4"/>
        <v/>
      </c>
      <c r="Q52" s="11"/>
      <c r="R52" s="19"/>
      <c r="S52" s="19"/>
      <c r="U52">
        <f ca="1">IF(AND(ISNUMBER(O52),O52&lt;=設定!$C$4),1,0)</f>
        <v>0</v>
      </c>
      <c r="V52" t="str">
        <f ca="1">IF(U52=1,SUM($U$10:U52),"")</f>
        <v/>
      </c>
    </row>
    <row r="53" spans="2:22">
      <c r="B53" s="8" t="str">
        <f>IF(C53="","",COUNT($C$10:C53))</f>
        <v/>
      </c>
      <c r="C53" s="20"/>
      <c r="D53" s="11"/>
      <c r="E53" s="9"/>
      <c r="F53" s="21" t="str">
        <f>IF(E53="","",IFERROR(INDEX(食材マスタ!$D$10:$D$309,MATCH(E53,食材マスタ!$C$10:$C$309,0)),"※コード未登録"))</f>
        <v/>
      </c>
      <c r="G53" s="16"/>
      <c r="H53" s="8" t="str">
        <f>IF(E53="","",IFERROR(INDEX(食材マスタ!$H$10:$H$309,MATCH(E53,食材マスタ!$C$10:$C$309,0)),""))</f>
        <v/>
      </c>
      <c r="I53" s="15" t="str">
        <f>IF(E53="","",IFERROR(INDEX(食材マスタ!$K$10:$K$309,MATCH(E53,食材マスタ!$C$10:$C$309,0)),""))</f>
        <v/>
      </c>
      <c r="J53" s="15" t="str">
        <f t="shared" si="0"/>
        <v/>
      </c>
      <c r="K53" s="20"/>
      <c r="L53" s="8" t="str">
        <f t="shared" si="1"/>
        <v/>
      </c>
      <c r="M53" s="9"/>
      <c r="N53" s="13" t="str">
        <f t="shared" si="2"/>
        <v/>
      </c>
      <c r="O53" s="22" t="str">
        <f t="shared" ca="1" si="3"/>
        <v/>
      </c>
      <c r="P53" s="17" t="str">
        <f t="shared" si="4"/>
        <v/>
      </c>
      <c r="Q53" s="11"/>
      <c r="R53" s="19"/>
      <c r="S53" s="19"/>
      <c r="U53">
        <f ca="1">IF(AND(ISNUMBER(O53),O53&lt;=設定!$C$4),1,0)</f>
        <v>0</v>
      </c>
      <c r="V53" t="str">
        <f ca="1">IF(U53=1,SUM($U$10:U53),"")</f>
        <v/>
      </c>
    </row>
    <row r="54" spans="2:22">
      <c r="B54" s="8" t="str">
        <f>IF(C54="","",COUNT($C$10:C54))</f>
        <v/>
      </c>
      <c r="C54" s="20"/>
      <c r="D54" s="11"/>
      <c r="E54" s="9"/>
      <c r="F54" s="21" t="str">
        <f>IF(E54="","",IFERROR(INDEX(食材マスタ!$D$10:$D$309,MATCH(E54,食材マスタ!$C$10:$C$309,0)),"※コード未登録"))</f>
        <v/>
      </c>
      <c r="G54" s="16"/>
      <c r="H54" s="8" t="str">
        <f>IF(E54="","",IFERROR(INDEX(食材マスタ!$H$10:$H$309,MATCH(E54,食材マスタ!$C$10:$C$309,0)),""))</f>
        <v/>
      </c>
      <c r="I54" s="15" t="str">
        <f>IF(E54="","",IFERROR(INDEX(食材マスタ!$K$10:$K$309,MATCH(E54,食材マスタ!$C$10:$C$309,0)),""))</f>
        <v/>
      </c>
      <c r="J54" s="15" t="str">
        <f t="shared" si="0"/>
        <v/>
      </c>
      <c r="K54" s="20"/>
      <c r="L54" s="8" t="str">
        <f t="shared" si="1"/>
        <v/>
      </c>
      <c r="M54" s="9"/>
      <c r="N54" s="13" t="str">
        <f t="shared" si="2"/>
        <v/>
      </c>
      <c r="O54" s="22" t="str">
        <f t="shared" ca="1" si="3"/>
        <v/>
      </c>
      <c r="P54" s="17" t="str">
        <f t="shared" si="4"/>
        <v/>
      </c>
      <c r="Q54" s="11"/>
      <c r="R54" s="19"/>
      <c r="S54" s="19"/>
      <c r="U54">
        <f ca="1">IF(AND(ISNUMBER(O54),O54&lt;=設定!$C$4),1,0)</f>
        <v>0</v>
      </c>
      <c r="V54" t="str">
        <f ca="1">IF(U54=1,SUM($U$10:U54),"")</f>
        <v/>
      </c>
    </row>
    <row r="55" spans="2:22">
      <c r="B55" s="8" t="str">
        <f>IF(C55="","",COUNT($C$10:C55))</f>
        <v/>
      </c>
      <c r="C55" s="20"/>
      <c r="D55" s="11"/>
      <c r="E55" s="9"/>
      <c r="F55" s="21" t="str">
        <f>IF(E55="","",IFERROR(INDEX(食材マスタ!$D$10:$D$309,MATCH(E55,食材マスタ!$C$10:$C$309,0)),"※コード未登録"))</f>
        <v/>
      </c>
      <c r="G55" s="16"/>
      <c r="H55" s="8" t="str">
        <f>IF(E55="","",IFERROR(INDEX(食材マスタ!$H$10:$H$309,MATCH(E55,食材マスタ!$C$10:$C$309,0)),""))</f>
        <v/>
      </c>
      <c r="I55" s="15" t="str">
        <f>IF(E55="","",IFERROR(INDEX(食材マスタ!$K$10:$K$309,MATCH(E55,食材マスタ!$C$10:$C$309,0)),""))</f>
        <v/>
      </c>
      <c r="J55" s="15" t="str">
        <f t="shared" si="0"/>
        <v/>
      </c>
      <c r="K55" s="20"/>
      <c r="L55" s="8" t="str">
        <f t="shared" si="1"/>
        <v/>
      </c>
      <c r="M55" s="9"/>
      <c r="N55" s="13" t="str">
        <f t="shared" si="2"/>
        <v/>
      </c>
      <c r="O55" s="22" t="str">
        <f t="shared" ca="1" si="3"/>
        <v/>
      </c>
      <c r="P55" s="17" t="str">
        <f t="shared" si="4"/>
        <v/>
      </c>
      <c r="Q55" s="11"/>
      <c r="R55" s="19"/>
      <c r="S55" s="19"/>
      <c r="U55">
        <f ca="1">IF(AND(ISNUMBER(O55),O55&lt;=設定!$C$4),1,0)</f>
        <v>0</v>
      </c>
      <c r="V55" t="str">
        <f ca="1">IF(U55=1,SUM($U$10:U55),"")</f>
        <v/>
      </c>
    </row>
    <row r="56" spans="2:22">
      <c r="B56" s="8" t="str">
        <f>IF(C56="","",COUNT($C$10:C56))</f>
        <v/>
      </c>
      <c r="C56" s="20"/>
      <c r="D56" s="11"/>
      <c r="E56" s="9"/>
      <c r="F56" s="21" t="str">
        <f>IF(E56="","",IFERROR(INDEX(食材マスタ!$D$10:$D$309,MATCH(E56,食材マスタ!$C$10:$C$309,0)),"※コード未登録"))</f>
        <v/>
      </c>
      <c r="G56" s="16"/>
      <c r="H56" s="8" t="str">
        <f>IF(E56="","",IFERROR(INDEX(食材マスタ!$H$10:$H$309,MATCH(E56,食材マスタ!$C$10:$C$309,0)),""))</f>
        <v/>
      </c>
      <c r="I56" s="15" t="str">
        <f>IF(E56="","",IFERROR(INDEX(食材マスタ!$K$10:$K$309,MATCH(E56,食材マスタ!$C$10:$C$309,0)),""))</f>
        <v/>
      </c>
      <c r="J56" s="15" t="str">
        <f t="shared" si="0"/>
        <v/>
      </c>
      <c r="K56" s="20"/>
      <c r="L56" s="8" t="str">
        <f t="shared" si="1"/>
        <v/>
      </c>
      <c r="M56" s="9"/>
      <c r="N56" s="13" t="str">
        <f t="shared" si="2"/>
        <v/>
      </c>
      <c r="O56" s="22" t="str">
        <f t="shared" ca="1" si="3"/>
        <v/>
      </c>
      <c r="P56" s="17" t="str">
        <f t="shared" si="4"/>
        <v/>
      </c>
      <c r="Q56" s="11"/>
      <c r="R56" s="19"/>
      <c r="S56" s="19"/>
      <c r="U56">
        <f ca="1">IF(AND(ISNUMBER(O56),O56&lt;=設定!$C$4),1,0)</f>
        <v>0</v>
      </c>
      <c r="V56" t="str">
        <f ca="1">IF(U56=1,SUM($U$10:U56),"")</f>
        <v/>
      </c>
    </row>
    <row r="57" spans="2:22">
      <c r="B57" s="8" t="str">
        <f>IF(C57="","",COUNT($C$10:C57))</f>
        <v/>
      </c>
      <c r="C57" s="20"/>
      <c r="D57" s="11"/>
      <c r="E57" s="9"/>
      <c r="F57" s="21" t="str">
        <f>IF(E57="","",IFERROR(INDEX(食材マスタ!$D$10:$D$309,MATCH(E57,食材マスタ!$C$10:$C$309,0)),"※コード未登録"))</f>
        <v/>
      </c>
      <c r="G57" s="16"/>
      <c r="H57" s="8" t="str">
        <f>IF(E57="","",IFERROR(INDEX(食材マスタ!$H$10:$H$309,MATCH(E57,食材マスタ!$C$10:$C$309,0)),""))</f>
        <v/>
      </c>
      <c r="I57" s="15" t="str">
        <f>IF(E57="","",IFERROR(INDEX(食材マスタ!$K$10:$K$309,MATCH(E57,食材マスタ!$C$10:$C$309,0)),""))</f>
        <v/>
      </c>
      <c r="J57" s="15" t="str">
        <f t="shared" si="0"/>
        <v/>
      </c>
      <c r="K57" s="20"/>
      <c r="L57" s="8" t="str">
        <f t="shared" si="1"/>
        <v/>
      </c>
      <c r="M57" s="9"/>
      <c r="N57" s="13" t="str">
        <f t="shared" si="2"/>
        <v/>
      </c>
      <c r="O57" s="22" t="str">
        <f t="shared" ca="1" si="3"/>
        <v/>
      </c>
      <c r="P57" s="17" t="str">
        <f t="shared" si="4"/>
        <v/>
      </c>
      <c r="Q57" s="11"/>
      <c r="R57" s="19"/>
      <c r="S57" s="19"/>
      <c r="U57">
        <f ca="1">IF(AND(ISNUMBER(O57),O57&lt;=設定!$C$4),1,0)</f>
        <v>0</v>
      </c>
      <c r="V57" t="str">
        <f ca="1">IF(U57=1,SUM($U$10:U57),"")</f>
        <v/>
      </c>
    </row>
    <row r="58" spans="2:22">
      <c r="B58" s="8" t="str">
        <f>IF(C58="","",COUNT($C$10:C58))</f>
        <v/>
      </c>
      <c r="C58" s="20"/>
      <c r="D58" s="11"/>
      <c r="E58" s="9"/>
      <c r="F58" s="21" t="str">
        <f>IF(E58="","",IFERROR(INDEX(食材マスタ!$D$10:$D$309,MATCH(E58,食材マスタ!$C$10:$C$309,0)),"※コード未登録"))</f>
        <v/>
      </c>
      <c r="G58" s="16"/>
      <c r="H58" s="8" t="str">
        <f>IF(E58="","",IFERROR(INDEX(食材マスタ!$H$10:$H$309,MATCH(E58,食材マスタ!$C$10:$C$309,0)),""))</f>
        <v/>
      </c>
      <c r="I58" s="15" t="str">
        <f>IF(E58="","",IFERROR(INDEX(食材マスタ!$K$10:$K$309,MATCH(E58,食材マスタ!$C$10:$C$309,0)),""))</f>
        <v/>
      </c>
      <c r="J58" s="15" t="str">
        <f t="shared" si="0"/>
        <v/>
      </c>
      <c r="K58" s="20"/>
      <c r="L58" s="8" t="str">
        <f t="shared" si="1"/>
        <v/>
      </c>
      <c r="M58" s="9"/>
      <c r="N58" s="13" t="str">
        <f t="shared" si="2"/>
        <v/>
      </c>
      <c r="O58" s="22" t="str">
        <f t="shared" ca="1" si="3"/>
        <v/>
      </c>
      <c r="P58" s="17" t="str">
        <f t="shared" si="4"/>
        <v/>
      </c>
      <c r="Q58" s="11"/>
      <c r="R58" s="19"/>
      <c r="S58" s="19"/>
      <c r="U58">
        <f ca="1">IF(AND(ISNUMBER(O58),O58&lt;=設定!$C$4),1,0)</f>
        <v>0</v>
      </c>
      <c r="V58" t="str">
        <f ca="1">IF(U58=1,SUM($U$10:U58),"")</f>
        <v/>
      </c>
    </row>
    <row r="59" spans="2:22">
      <c r="B59" s="8" t="str">
        <f>IF(C59="","",COUNT($C$10:C59))</f>
        <v/>
      </c>
      <c r="C59" s="20"/>
      <c r="D59" s="11"/>
      <c r="E59" s="9"/>
      <c r="F59" s="21" t="str">
        <f>IF(E59="","",IFERROR(INDEX(食材マスタ!$D$10:$D$309,MATCH(E59,食材マスタ!$C$10:$C$309,0)),"※コード未登録"))</f>
        <v/>
      </c>
      <c r="G59" s="16"/>
      <c r="H59" s="8" t="str">
        <f>IF(E59="","",IFERROR(INDEX(食材マスタ!$H$10:$H$309,MATCH(E59,食材マスタ!$C$10:$C$309,0)),""))</f>
        <v/>
      </c>
      <c r="I59" s="15" t="str">
        <f>IF(E59="","",IFERROR(INDEX(食材マスタ!$K$10:$K$309,MATCH(E59,食材マスタ!$C$10:$C$309,0)),""))</f>
        <v/>
      </c>
      <c r="J59" s="15" t="str">
        <f t="shared" si="0"/>
        <v/>
      </c>
      <c r="K59" s="20"/>
      <c r="L59" s="8" t="str">
        <f t="shared" si="1"/>
        <v/>
      </c>
      <c r="M59" s="9"/>
      <c r="N59" s="13" t="str">
        <f t="shared" si="2"/>
        <v/>
      </c>
      <c r="O59" s="22" t="str">
        <f t="shared" ca="1" si="3"/>
        <v/>
      </c>
      <c r="P59" s="17" t="str">
        <f t="shared" si="4"/>
        <v/>
      </c>
      <c r="Q59" s="11"/>
      <c r="R59" s="19"/>
      <c r="S59" s="19"/>
      <c r="U59">
        <f ca="1">IF(AND(ISNUMBER(O59),O59&lt;=設定!$C$4),1,0)</f>
        <v>0</v>
      </c>
      <c r="V59" t="str">
        <f ca="1">IF(U59=1,SUM($U$10:U59),"")</f>
        <v/>
      </c>
    </row>
    <row r="60" spans="2:22">
      <c r="B60" s="8" t="str">
        <f>IF(C60="","",COUNT($C$10:C60))</f>
        <v/>
      </c>
      <c r="C60" s="20"/>
      <c r="D60" s="11"/>
      <c r="E60" s="9"/>
      <c r="F60" s="21" t="str">
        <f>IF(E60="","",IFERROR(INDEX(食材マスタ!$D$10:$D$309,MATCH(E60,食材マスタ!$C$10:$C$309,0)),"※コード未登録"))</f>
        <v/>
      </c>
      <c r="G60" s="16"/>
      <c r="H60" s="8" t="str">
        <f>IF(E60="","",IFERROR(INDEX(食材マスタ!$H$10:$H$309,MATCH(E60,食材マスタ!$C$10:$C$309,0)),""))</f>
        <v/>
      </c>
      <c r="I60" s="15" t="str">
        <f>IF(E60="","",IFERROR(INDEX(食材マスタ!$K$10:$K$309,MATCH(E60,食材マスタ!$C$10:$C$309,0)),""))</f>
        <v/>
      </c>
      <c r="J60" s="15" t="str">
        <f t="shared" si="0"/>
        <v/>
      </c>
      <c r="K60" s="20"/>
      <c r="L60" s="8" t="str">
        <f t="shared" si="1"/>
        <v/>
      </c>
      <c r="M60" s="9"/>
      <c r="N60" s="13" t="str">
        <f t="shared" si="2"/>
        <v/>
      </c>
      <c r="O60" s="22" t="str">
        <f t="shared" ca="1" si="3"/>
        <v/>
      </c>
      <c r="P60" s="17" t="str">
        <f t="shared" si="4"/>
        <v/>
      </c>
      <c r="Q60" s="11"/>
      <c r="R60" s="19"/>
      <c r="S60" s="19"/>
      <c r="U60">
        <f ca="1">IF(AND(ISNUMBER(O60),O60&lt;=設定!$C$4),1,0)</f>
        <v>0</v>
      </c>
      <c r="V60" t="str">
        <f ca="1">IF(U60=1,SUM($U$10:U60),"")</f>
        <v/>
      </c>
    </row>
    <row r="61" spans="2:22">
      <c r="B61" s="8" t="str">
        <f>IF(C61="","",COUNT($C$10:C61))</f>
        <v/>
      </c>
      <c r="C61" s="20"/>
      <c r="D61" s="11"/>
      <c r="E61" s="9"/>
      <c r="F61" s="21" t="str">
        <f>IF(E61="","",IFERROR(INDEX(食材マスタ!$D$10:$D$309,MATCH(E61,食材マスタ!$C$10:$C$309,0)),"※コード未登録"))</f>
        <v/>
      </c>
      <c r="G61" s="16"/>
      <c r="H61" s="8" t="str">
        <f>IF(E61="","",IFERROR(INDEX(食材マスタ!$H$10:$H$309,MATCH(E61,食材マスタ!$C$10:$C$309,0)),""))</f>
        <v/>
      </c>
      <c r="I61" s="15" t="str">
        <f>IF(E61="","",IFERROR(INDEX(食材マスタ!$K$10:$K$309,MATCH(E61,食材マスタ!$C$10:$C$309,0)),""))</f>
        <v/>
      </c>
      <c r="J61" s="15" t="str">
        <f t="shared" si="0"/>
        <v/>
      </c>
      <c r="K61" s="20"/>
      <c r="L61" s="8" t="str">
        <f t="shared" si="1"/>
        <v/>
      </c>
      <c r="M61" s="9"/>
      <c r="N61" s="13" t="str">
        <f t="shared" si="2"/>
        <v/>
      </c>
      <c r="O61" s="22" t="str">
        <f t="shared" ca="1" si="3"/>
        <v/>
      </c>
      <c r="P61" s="17" t="str">
        <f t="shared" si="4"/>
        <v/>
      </c>
      <c r="Q61" s="11"/>
      <c r="R61" s="19"/>
      <c r="S61" s="19"/>
      <c r="U61">
        <f ca="1">IF(AND(ISNUMBER(O61),O61&lt;=設定!$C$4),1,0)</f>
        <v>0</v>
      </c>
      <c r="V61" t="str">
        <f ca="1">IF(U61=1,SUM($U$10:U61),"")</f>
        <v/>
      </c>
    </row>
    <row r="62" spans="2:22">
      <c r="B62" s="8" t="str">
        <f>IF(C62="","",COUNT($C$10:C62))</f>
        <v/>
      </c>
      <c r="C62" s="20"/>
      <c r="D62" s="11"/>
      <c r="E62" s="9"/>
      <c r="F62" s="21" t="str">
        <f>IF(E62="","",IFERROR(INDEX(食材マスタ!$D$10:$D$309,MATCH(E62,食材マスタ!$C$10:$C$309,0)),"※コード未登録"))</f>
        <v/>
      </c>
      <c r="G62" s="16"/>
      <c r="H62" s="8" t="str">
        <f>IF(E62="","",IFERROR(INDEX(食材マスタ!$H$10:$H$309,MATCH(E62,食材マスタ!$C$10:$C$309,0)),""))</f>
        <v/>
      </c>
      <c r="I62" s="15" t="str">
        <f>IF(E62="","",IFERROR(INDEX(食材マスタ!$K$10:$K$309,MATCH(E62,食材マスタ!$C$10:$C$309,0)),""))</f>
        <v/>
      </c>
      <c r="J62" s="15" t="str">
        <f t="shared" si="0"/>
        <v/>
      </c>
      <c r="K62" s="20"/>
      <c r="L62" s="8" t="str">
        <f t="shared" si="1"/>
        <v/>
      </c>
      <c r="M62" s="9"/>
      <c r="N62" s="13" t="str">
        <f t="shared" si="2"/>
        <v/>
      </c>
      <c r="O62" s="22" t="str">
        <f t="shared" ca="1" si="3"/>
        <v/>
      </c>
      <c r="P62" s="17" t="str">
        <f t="shared" si="4"/>
        <v/>
      </c>
      <c r="Q62" s="11"/>
      <c r="R62" s="19"/>
      <c r="S62" s="19"/>
      <c r="U62">
        <f ca="1">IF(AND(ISNUMBER(O62),O62&lt;=設定!$C$4),1,0)</f>
        <v>0</v>
      </c>
      <c r="V62" t="str">
        <f ca="1">IF(U62=1,SUM($U$10:U62),"")</f>
        <v/>
      </c>
    </row>
    <row r="63" spans="2:22">
      <c r="B63" s="8" t="str">
        <f>IF(C63="","",COUNT($C$10:C63))</f>
        <v/>
      </c>
      <c r="C63" s="20"/>
      <c r="D63" s="11"/>
      <c r="E63" s="9"/>
      <c r="F63" s="21" t="str">
        <f>IF(E63="","",IFERROR(INDEX(食材マスタ!$D$10:$D$309,MATCH(E63,食材マスタ!$C$10:$C$309,0)),"※コード未登録"))</f>
        <v/>
      </c>
      <c r="G63" s="16"/>
      <c r="H63" s="8" t="str">
        <f>IF(E63="","",IFERROR(INDEX(食材マスタ!$H$10:$H$309,MATCH(E63,食材マスタ!$C$10:$C$309,0)),""))</f>
        <v/>
      </c>
      <c r="I63" s="15" t="str">
        <f>IF(E63="","",IFERROR(INDEX(食材マスタ!$K$10:$K$309,MATCH(E63,食材マスタ!$C$10:$C$309,0)),""))</f>
        <v/>
      </c>
      <c r="J63" s="15" t="str">
        <f t="shared" si="0"/>
        <v/>
      </c>
      <c r="K63" s="20"/>
      <c r="L63" s="8" t="str">
        <f t="shared" si="1"/>
        <v/>
      </c>
      <c r="M63" s="9"/>
      <c r="N63" s="13" t="str">
        <f t="shared" si="2"/>
        <v/>
      </c>
      <c r="O63" s="22" t="str">
        <f t="shared" ca="1" si="3"/>
        <v/>
      </c>
      <c r="P63" s="17" t="str">
        <f t="shared" si="4"/>
        <v/>
      </c>
      <c r="Q63" s="11"/>
      <c r="R63" s="19"/>
      <c r="S63" s="19"/>
      <c r="U63">
        <f ca="1">IF(AND(ISNUMBER(O63),O63&lt;=設定!$C$4),1,0)</f>
        <v>0</v>
      </c>
      <c r="V63" t="str">
        <f ca="1">IF(U63=1,SUM($U$10:U63),"")</f>
        <v/>
      </c>
    </row>
    <row r="64" spans="2:22">
      <c r="B64" s="8" t="str">
        <f>IF(C64="","",COUNT($C$10:C64))</f>
        <v/>
      </c>
      <c r="C64" s="20"/>
      <c r="D64" s="11"/>
      <c r="E64" s="9"/>
      <c r="F64" s="21" t="str">
        <f>IF(E64="","",IFERROR(INDEX(食材マスタ!$D$10:$D$309,MATCH(E64,食材マスタ!$C$10:$C$309,0)),"※コード未登録"))</f>
        <v/>
      </c>
      <c r="G64" s="16"/>
      <c r="H64" s="8" t="str">
        <f>IF(E64="","",IFERROR(INDEX(食材マスタ!$H$10:$H$309,MATCH(E64,食材マスタ!$C$10:$C$309,0)),""))</f>
        <v/>
      </c>
      <c r="I64" s="15" t="str">
        <f>IF(E64="","",IFERROR(INDEX(食材マスタ!$K$10:$K$309,MATCH(E64,食材マスタ!$C$10:$C$309,0)),""))</f>
        <v/>
      </c>
      <c r="J64" s="15" t="str">
        <f t="shared" si="0"/>
        <v/>
      </c>
      <c r="K64" s="20"/>
      <c r="L64" s="8" t="str">
        <f t="shared" si="1"/>
        <v/>
      </c>
      <c r="M64" s="9"/>
      <c r="N64" s="13" t="str">
        <f t="shared" si="2"/>
        <v/>
      </c>
      <c r="O64" s="22" t="str">
        <f t="shared" ca="1" si="3"/>
        <v/>
      </c>
      <c r="P64" s="17" t="str">
        <f t="shared" si="4"/>
        <v/>
      </c>
      <c r="Q64" s="11"/>
      <c r="R64" s="19"/>
      <c r="S64" s="19"/>
      <c r="U64">
        <f ca="1">IF(AND(ISNUMBER(O64),O64&lt;=設定!$C$4),1,0)</f>
        <v>0</v>
      </c>
      <c r="V64" t="str">
        <f ca="1">IF(U64=1,SUM($U$10:U64),"")</f>
        <v/>
      </c>
    </row>
    <row r="65" spans="2:22">
      <c r="B65" s="8" t="str">
        <f>IF(C65="","",COUNT($C$10:C65))</f>
        <v/>
      </c>
      <c r="C65" s="20"/>
      <c r="D65" s="11"/>
      <c r="E65" s="9"/>
      <c r="F65" s="21" t="str">
        <f>IF(E65="","",IFERROR(INDEX(食材マスタ!$D$10:$D$309,MATCH(E65,食材マスタ!$C$10:$C$309,0)),"※コード未登録"))</f>
        <v/>
      </c>
      <c r="G65" s="16"/>
      <c r="H65" s="8" t="str">
        <f>IF(E65="","",IFERROR(INDEX(食材マスタ!$H$10:$H$309,MATCH(E65,食材マスタ!$C$10:$C$309,0)),""))</f>
        <v/>
      </c>
      <c r="I65" s="15" t="str">
        <f>IF(E65="","",IFERROR(INDEX(食材マスタ!$K$10:$K$309,MATCH(E65,食材マスタ!$C$10:$C$309,0)),""))</f>
        <v/>
      </c>
      <c r="J65" s="15" t="str">
        <f t="shared" si="0"/>
        <v/>
      </c>
      <c r="K65" s="20"/>
      <c r="L65" s="8" t="str">
        <f t="shared" si="1"/>
        <v/>
      </c>
      <c r="M65" s="9"/>
      <c r="N65" s="13" t="str">
        <f t="shared" si="2"/>
        <v/>
      </c>
      <c r="O65" s="22" t="str">
        <f t="shared" ca="1" si="3"/>
        <v/>
      </c>
      <c r="P65" s="17" t="str">
        <f t="shared" si="4"/>
        <v/>
      </c>
      <c r="Q65" s="11"/>
      <c r="R65" s="19"/>
      <c r="S65" s="19"/>
      <c r="U65">
        <f ca="1">IF(AND(ISNUMBER(O65),O65&lt;=設定!$C$4),1,0)</f>
        <v>0</v>
      </c>
      <c r="V65" t="str">
        <f ca="1">IF(U65=1,SUM($U$10:U65),"")</f>
        <v/>
      </c>
    </row>
    <row r="66" spans="2:22">
      <c r="B66" s="8" t="str">
        <f>IF(C66="","",COUNT($C$10:C66))</f>
        <v/>
      </c>
      <c r="C66" s="20"/>
      <c r="D66" s="11"/>
      <c r="E66" s="9"/>
      <c r="F66" s="21" t="str">
        <f>IF(E66="","",IFERROR(INDEX(食材マスタ!$D$10:$D$309,MATCH(E66,食材マスタ!$C$10:$C$309,0)),"※コード未登録"))</f>
        <v/>
      </c>
      <c r="G66" s="16"/>
      <c r="H66" s="8" t="str">
        <f>IF(E66="","",IFERROR(INDEX(食材マスタ!$H$10:$H$309,MATCH(E66,食材マスタ!$C$10:$C$309,0)),""))</f>
        <v/>
      </c>
      <c r="I66" s="15" t="str">
        <f>IF(E66="","",IFERROR(INDEX(食材マスタ!$K$10:$K$309,MATCH(E66,食材マスタ!$C$10:$C$309,0)),""))</f>
        <v/>
      </c>
      <c r="J66" s="15" t="str">
        <f t="shared" si="0"/>
        <v/>
      </c>
      <c r="K66" s="20"/>
      <c r="L66" s="8" t="str">
        <f t="shared" si="1"/>
        <v/>
      </c>
      <c r="M66" s="9"/>
      <c r="N66" s="13" t="str">
        <f t="shared" si="2"/>
        <v/>
      </c>
      <c r="O66" s="22" t="str">
        <f t="shared" ca="1" si="3"/>
        <v/>
      </c>
      <c r="P66" s="17" t="str">
        <f t="shared" si="4"/>
        <v/>
      </c>
      <c r="Q66" s="11"/>
      <c r="R66" s="19"/>
      <c r="S66" s="19"/>
      <c r="U66">
        <f ca="1">IF(AND(ISNUMBER(O66),O66&lt;=設定!$C$4),1,0)</f>
        <v>0</v>
      </c>
      <c r="V66" t="str">
        <f ca="1">IF(U66=1,SUM($U$10:U66),"")</f>
        <v/>
      </c>
    </row>
    <row r="67" spans="2:22">
      <c r="B67" s="8" t="str">
        <f>IF(C67="","",COUNT($C$10:C67))</f>
        <v/>
      </c>
      <c r="C67" s="20"/>
      <c r="D67" s="11"/>
      <c r="E67" s="9"/>
      <c r="F67" s="21" t="str">
        <f>IF(E67="","",IFERROR(INDEX(食材マスタ!$D$10:$D$309,MATCH(E67,食材マスタ!$C$10:$C$309,0)),"※コード未登録"))</f>
        <v/>
      </c>
      <c r="G67" s="16"/>
      <c r="H67" s="8" t="str">
        <f>IF(E67="","",IFERROR(INDEX(食材マスタ!$H$10:$H$309,MATCH(E67,食材マスタ!$C$10:$C$309,0)),""))</f>
        <v/>
      </c>
      <c r="I67" s="15" t="str">
        <f>IF(E67="","",IFERROR(INDEX(食材マスタ!$K$10:$K$309,MATCH(E67,食材マスタ!$C$10:$C$309,0)),""))</f>
        <v/>
      </c>
      <c r="J67" s="15" t="str">
        <f t="shared" si="0"/>
        <v/>
      </c>
      <c r="K67" s="20"/>
      <c r="L67" s="8" t="str">
        <f t="shared" si="1"/>
        <v/>
      </c>
      <c r="M67" s="9"/>
      <c r="N67" s="13" t="str">
        <f t="shared" si="2"/>
        <v/>
      </c>
      <c r="O67" s="22" t="str">
        <f t="shared" ca="1" si="3"/>
        <v/>
      </c>
      <c r="P67" s="17" t="str">
        <f t="shared" si="4"/>
        <v/>
      </c>
      <c r="Q67" s="11"/>
      <c r="R67" s="19"/>
      <c r="S67" s="19"/>
      <c r="U67">
        <f ca="1">IF(AND(ISNUMBER(O67),O67&lt;=設定!$C$4),1,0)</f>
        <v>0</v>
      </c>
      <c r="V67" t="str">
        <f ca="1">IF(U67=1,SUM($U$10:U67),"")</f>
        <v/>
      </c>
    </row>
    <row r="68" spans="2:22">
      <c r="B68" s="8" t="str">
        <f>IF(C68="","",COUNT($C$10:C68))</f>
        <v/>
      </c>
      <c r="C68" s="20"/>
      <c r="D68" s="11"/>
      <c r="E68" s="9"/>
      <c r="F68" s="21" t="str">
        <f>IF(E68="","",IFERROR(INDEX(食材マスタ!$D$10:$D$309,MATCH(E68,食材マスタ!$C$10:$C$309,0)),"※コード未登録"))</f>
        <v/>
      </c>
      <c r="G68" s="16"/>
      <c r="H68" s="8" t="str">
        <f>IF(E68="","",IFERROR(INDEX(食材マスタ!$H$10:$H$309,MATCH(E68,食材マスタ!$C$10:$C$309,0)),""))</f>
        <v/>
      </c>
      <c r="I68" s="15" t="str">
        <f>IF(E68="","",IFERROR(INDEX(食材マスタ!$K$10:$K$309,MATCH(E68,食材マスタ!$C$10:$C$309,0)),""))</f>
        <v/>
      </c>
      <c r="J68" s="15" t="str">
        <f t="shared" si="0"/>
        <v/>
      </c>
      <c r="K68" s="20"/>
      <c r="L68" s="8" t="str">
        <f t="shared" si="1"/>
        <v/>
      </c>
      <c r="M68" s="9"/>
      <c r="N68" s="13" t="str">
        <f t="shared" si="2"/>
        <v/>
      </c>
      <c r="O68" s="22" t="str">
        <f t="shared" ca="1" si="3"/>
        <v/>
      </c>
      <c r="P68" s="17" t="str">
        <f t="shared" si="4"/>
        <v/>
      </c>
      <c r="Q68" s="11"/>
      <c r="R68" s="19"/>
      <c r="S68" s="19"/>
      <c r="U68">
        <f ca="1">IF(AND(ISNUMBER(O68),O68&lt;=設定!$C$4),1,0)</f>
        <v>0</v>
      </c>
      <c r="V68" t="str">
        <f ca="1">IF(U68=1,SUM($U$10:U68),"")</f>
        <v/>
      </c>
    </row>
    <row r="69" spans="2:22">
      <c r="B69" s="8" t="str">
        <f>IF(C69="","",COUNT($C$10:C69))</f>
        <v/>
      </c>
      <c r="C69" s="20"/>
      <c r="D69" s="11"/>
      <c r="E69" s="9"/>
      <c r="F69" s="21" t="str">
        <f>IF(E69="","",IFERROR(INDEX(食材マスタ!$D$10:$D$309,MATCH(E69,食材マスタ!$C$10:$C$309,0)),"※コード未登録"))</f>
        <v/>
      </c>
      <c r="G69" s="16"/>
      <c r="H69" s="8" t="str">
        <f>IF(E69="","",IFERROR(INDEX(食材マスタ!$H$10:$H$309,MATCH(E69,食材マスタ!$C$10:$C$309,0)),""))</f>
        <v/>
      </c>
      <c r="I69" s="15" t="str">
        <f>IF(E69="","",IFERROR(INDEX(食材マスタ!$K$10:$K$309,MATCH(E69,食材マスタ!$C$10:$C$309,0)),""))</f>
        <v/>
      </c>
      <c r="J69" s="15" t="str">
        <f t="shared" si="0"/>
        <v/>
      </c>
      <c r="K69" s="20"/>
      <c r="L69" s="8" t="str">
        <f t="shared" si="1"/>
        <v/>
      </c>
      <c r="M69" s="9"/>
      <c r="N69" s="13" t="str">
        <f t="shared" si="2"/>
        <v/>
      </c>
      <c r="O69" s="22" t="str">
        <f t="shared" ca="1" si="3"/>
        <v/>
      </c>
      <c r="P69" s="17" t="str">
        <f t="shared" si="4"/>
        <v/>
      </c>
      <c r="Q69" s="11"/>
      <c r="R69" s="19"/>
      <c r="S69" s="19"/>
      <c r="U69">
        <f ca="1">IF(AND(ISNUMBER(O69),O69&lt;=設定!$C$4),1,0)</f>
        <v>0</v>
      </c>
      <c r="V69" t="str">
        <f ca="1">IF(U69=1,SUM($U$10:U69),"")</f>
        <v/>
      </c>
    </row>
    <row r="70" spans="2:22">
      <c r="B70" s="8" t="str">
        <f>IF(C70="","",COUNT($C$10:C70))</f>
        <v/>
      </c>
      <c r="C70" s="20"/>
      <c r="D70" s="11"/>
      <c r="E70" s="9"/>
      <c r="F70" s="21" t="str">
        <f>IF(E70="","",IFERROR(INDEX(食材マスタ!$D$10:$D$309,MATCH(E70,食材マスタ!$C$10:$C$309,0)),"※コード未登録"))</f>
        <v/>
      </c>
      <c r="G70" s="16"/>
      <c r="H70" s="8" t="str">
        <f>IF(E70="","",IFERROR(INDEX(食材マスタ!$H$10:$H$309,MATCH(E70,食材マスタ!$C$10:$C$309,0)),""))</f>
        <v/>
      </c>
      <c r="I70" s="15" t="str">
        <f>IF(E70="","",IFERROR(INDEX(食材マスタ!$K$10:$K$309,MATCH(E70,食材マスタ!$C$10:$C$309,0)),""))</f>
        <v/>
      </c>
      <c r="J70" s="15" t="str">
        <f t="shared" si="0"/>
        <v/>
      </c>
      <c r="K70" s="20"/>
      <c r="L70" s="8" t="str">
        <f t="shared" si="1"/>
        <v/>
      </c>
      <c r="M70" s="9"/>
      <c r="N70" s="13" t="str">
        <f t="shared" si="2"/>
        <v/>
      </c>
      <c r="O70" s="22" t="str">
        <f t="shared" ca="1" si="3"/>
        <v/>
      </c>
      <c r="P70" s="17" t="str">
        <f t="shared" si="4"/>
        <v/>
      </c>
      <c r="Q70" s="11"/>
      <c r="R70" s="19"/>
      <c r="S70" s="19"/>
      <c r="U70">
        <f ca="1">IF(AND(ISNUMBER(O70),O70&lt;=設定!$C$4),1,0)</f>
        <v>0</v>
      </c>
      <c r="V70" t="str">
        <f ca="1">IF(U70=1,SUM($U$10:U70),"")</f>
        <v/>
      </c>
    </row>
    <row r="71" spans="2:22">
      <c r="B71" s="8" t="str">
        <f>IF(C71="","",COUNT($C$10:C71))</f>
        <v/>
      </c>
      <c r="C71" s="20"/>
      <c r="D71" s="11"/>
      <c r="E71" s="9"/>
      <c r="F71" s="21" t="str">
        <f>IF(E71="","",IFERROR(INDEX(食材マスタ!$D$10:$D$309,MATCH(E71,食材マスタ!$C$10:$C$309,0)),"※コード未登録"))</f>
        <v/>
      </c>
      <c r="G71" s="16"/>
      <c r="H71" s="8" t="str">
        <f>IF(E71="","",IFERROR(INDEX(食材マスタ!$H$10:$H$309,MATCH(E71,食材マスタ!$C$10:$C$309,0)),""))</f>
        <v/>
      </c>
      <c r="I71" s="15" t="str">
        <f>IF(E71="","",IFERROR(INDEX(食材マスタ!$K$10:$K$309,MATCH(E71,食材マスタ!$C$10:$C$309,0)),""))</f>
        <v/>
      </c>
      <c r="J71" s="15" t="str">
        <f t="shared" si="0"/>
        <v/>
      </c>
      <c r="K71" s="20"/>
      <c r="L71" s="8" t="str">
        <f t="shared" si="1"/>
        <v/>
      </c>
      <c r="M71" s="9"/>
      <c r="N71" s="13" t="str">
        <f t="shared" si="2"/>
        <v/>
      </c>
      <c r="O71" s="22" t="str">
        <f t="shared" ca="1" si="3"/>
        <v/>
      </c>
      <c r="P71" s="17" t="str">
        <f t="shared" si="4"/>
        <v/>
      </c>
      <c r="Q71" s="11"/>
      <c r="R71" s="19"/>
      <c r="S71" s="19"/>
      <c r="U71">
        <f ca="1">IF(AND(ISNUMBER(O71),O71&lt;=設定!$C$4),1,0)</f>
        <v>0</v>
      </c>
      <c r="V71" t="str">
        <f ca="1">IF(U71=1,SUM($U$10:U71),"")</f>
        <v/>
      </c>
    </row>
    <row r="72" spans="2:22">
      <c r="B72" s="8" t="str">
        <f>IF(C72="","",COUNT($C$10:C72))</f>
        <v/>
      </c>
      <c r="C72" s="20"/>
      <c r="D72" s="11"/>
      <c r="E72" s="9"/>
      <c r="F72" s="21" t="str">
        <f>IF(E72="","",IFERROR(INDEX(食材マスタ!$D$10:$D$309,MATCH(E72,食材マスタ!$C$10:$C$309,0)),"※コード未登録"))</f>
        <v/>
      </c>
      <c r="G72" s="16"/>
      <c r="H72" s="8" t="str">
        <f>IF(E72="","",IFERROR(INDEX(食材マスタ!$H$10:$H$309,MATCH(E72,食材マスタ!$C$10:$C$309,0)),""))</f>
        <v/>
      </c>
      <c r="I72" s="15" t="str">
        <f>IF(E72="","",IFERROR(INDEX(食材マスタ!$K$10:$K$309,MATCH(E72,食材マスタ!$C$10:$C$309,0)),""))</f>
        <v/>
      </c>
      <c r="J72" s="15" t="str">
        <f t="shared" si="0"/>
        <v/>
      </c>
      <c r="K72" s="20"/>
      <c r="L72" s="8" t="str">
        <f t="shared" si="1"/>
        <v/>
      </c>
      <c r="M72" s="9"/>
      <c r="N72" s="13" t="str">
        <f t="shared" si="2"/>
        <v/>
      </c>
      <c r="O72" s="22" t="str">
        <f t="shared" ca="1" si="3"/>
        <v/>
      </c>
      <c r="P72" s="17" t="str">
        <f t="shared" si="4"/>
        <v/>
      </c>
      <c r="Q72" s="11"/>
      <c r="R72" s="19"/>
      <c r="S72" s="19"/>
      <c r="U72">
        <f ca="1">IF(AND(ISNUMBER(O72),O72&lt;=設定!$C$4),1,0)</f>
        <v>0</v>
      </c>
      <c r="V72" t="str">
        <f ca="1">IF(U72=1,SUM($U$10:U72),"")</f>
        <v/>
      </c>
    </row>
    <row r="73" spans="2:22">
      <c r="B73" s="8" t="str">
        <f>IF(C73="","",COUNT($C$10:C73))</f>
        <v/>
      </c>
      <c r="C73" s="20"/>
      <c r="D73" s="11"/>
      <c r="E73" s="9"/>
      <c r="F73" s="21" t="str">
        <f>IF(E73="","",IFERROR(INDEX(食材マスタ!$D$10:$D$309,MATCH(E73,食材マスタ!$C$10:$C$309,0)),"※コード未登録"))</f>
        <v/>
      </c>
      <c r="G73" s="16"/>
      <c r="H73" s="8" t="str">
        <f>IF(E73="","",IFERROR(INDEX(食材マスタ!$H$10:$H$309,MATCH(E73,食材マスタ!$C$10:$C$309,0)),""))</f>
        <v/>
      </c>
      <c r="I73" s="15" t="str">
        <f>IF(E73="","",IFERROR(INDEX(食材マスタ!$K$10:$K$309,MATCH(E73,食材マスタ!$C$10:$C$309,0)),""))</f>
        <v/>
      </c>
      <c r="J73" s="15" t="str">
        <f t="shared" si="0"/>
        <v/>
      </c>
      <c r="K73" s="20"/>
      <c r="L73" s="8" t="str">
        <f t="shared" si="1"/>
        <v/>
      </c>
      <c r="M73" s="9"/>
      <c r="N73" s="13" t="str">
        <f t="shared" si="2"/>
        <v/>
      </c>
      <c r="O73" s="22" t="str">
        <f t="shared" ca="1" si="3"/>
        <v/>
      </c>
      <c r="P73" s="17" t="str">
        <f t="shared" si="4"/>
        <v/>
      </c>
      <c r="Q73" s="11"/>
      <c r="R73" s="19"/>
      <c r="S73" s="19"/>
      <c r="U73">
        <f ca="1">IF(AND(ISNUMBER(O73),O73&lt;=設定!$C$4),1,0)</f>
        <v>0</v>
      </c>
      <c r="V73" t="str">
        <f ca="1">IF(U73=1,SUM($U$10:U73),"")</f>
        <v/>
      </c>
    </row>
    <row r="74" spans="2:22">
      <c r="B74" s="8" t="str">
        <f>IF(C74="","",COUNT($C$10:C74))</f>
        <v/>
      </c>
      <c r="C74" s="20"/>
      <c r="D74" s="11"/>
      <c r="E74" s="9"/>
      <c r="F74" s="21" t="str">
        <f>IF(E74="","",IFERROR(INDEX(食材マスタ!$D$10:$D$309,MATCH(E74,食材マスタ!$C$10:$C$309,0)),"※コード未登録"))</f>
        <v/>
      </c>
      <c r="G74" s="16"/>
      <c r="H74" s="8" t="str">
        <f>IF(E74="","",IFERROR(INDEX(食材マスタ!$H$10:$H$309,MATCH(E74,食材マスタ!$C$10:$C$309,0)),""))</f>
        <v/>
      </c>
      <c r="I74" s="15" t="str">
        <f>IF(E74="","",IFERROR(INDEX(食材マスタ!$K$10:$K$309,MATCH(E74,食材マスタ!$C$10:$C$309,0)),""))</f>
        <v/>
      </c>
      <c r="J74" s="15" t="str">
        <f t="shared" ref="J74:J137" si="5">IF(OR(G74="",I74=""),"",ROUND(ABS(G74)*I74,0))</f>
        <v/>
      </c>
      <c r="K74" s="20"/>
      <c r="L74" s="8" t="str">
        <f t="shared" ref="L74:L137" si="6">IF(AND(D74="入庫",E74&lt;&gt;""),E74&amp;"-"&amp;TEXT(ROW()-9,"0000"),"")</f>
        <v/>
      </c>
      <c r="M74" s="9"/>
      <c r="N74" s="13" t="str">
        <f t="shared" ref="N74:N137" si="7">IF(L74="","",G74-SUMIFS($G$10:$G$1009,$M$10:$M$1009,L74,$D$10:$D$1009,"出庫")-SUMIFS($G$10:$G$1009,$M$10:$M$1009,L74,$D$10:$D$1009,"廃棄")+SUMIFS($G$10:$G$1009,$M$10:$M$1009,L74,$D$10:$D$1009,"棚卸調整"))</f>
        <v/>
      </c>
      <c r="O74" s="22" t="str">
        <f t="shared" ref="O74:O137" ca="1" si="8">IF(OR(L74="",K74=""),"",IF(N74&lt;=0,"",K74-TODAY()))</f>
        <v/>
      </c>
      <c r="P74" s="17" t="str">
        <f t="shared" ref="P74:P137" si="9">IF(E74="","",IF(F74="※コード未登録","コード未登録",IF(AND(OR(D74="出庫",D74="廃棄"),M74=""),"ロット未指定",IF(AND(M74&lt;&gt;"",LEFT(M74,LEN(E74)+1)&lt;&gt;E74&amp;"-"),"ロット違い",IF(AND(L74&lt;&gt;"",N74&lt;0),"ロット残マイナス","")))))</f>
        <v/>
      </c>
      <c r="Q74" s="11"/>
      <c r="R74" s="19"/>
      <c r="S74" s="19"/>
      <c r="U74">
        <f ca="1">IF(AND(ISNUMBER(O74),O74&lt;=設定!$C$4),1,0)</f>
        <v>0</v>
      </c>
      <c r="V74" t="str">
        <f ca="1">IF(U74=1,SUM($U$10:U74),"")</f>
        <v/>
      </c>
    </row>
    <row r="75" spans="2:22">
      <c r="B75" s="8" t="str">
        <f>IF(C75="","",COUNT($C$10:C75))</f>
        <v/>
      </c>
      <c r="C75" s="20"/>
      <c r="D75" s="11"/>
      <c r="E75" s="9"/>
      <c r="F75" s="21" t="str">
        <f>IF(E75="","",IFERROR(INDEX(食材マスタ!$D$10:$D$309,MATCH(E75,食材マスタ!$C$10:$C$309,0)),"※コード未登録"))</f>
        <v/>
      </c>
      <c r="G75" s="16"/>
      <c r="H75" s="8" t="str">
        <f>IF(E75="","",IFERROR(INDEX(食材マスタ!$H$10:$H$309,MATCH(E75,食材マスタ!$C$10:$C$309,0)),""))</f>
        <v/>
      </c>
      <c r="I75" s="15" t="str">
        <f>IF(E75="","",IFERROR(INDEX(食材マスタ!$K$10:$K$309,MATCH(E75,食材マスタ!$C$10:$C$309,0)),""))</f>
        <v/>
      </c>
      <c r="J75" s="15" t="str">
        <f t="shared" si="5"/>
        <v/>
      </c>
      <c r="K75" s="20"/>
      <c r="L75" s="8" t="str">
        <f t="shared" si="6"/>
        <v/>
      </c>
      <c r="M75" s="9"/>
      <c r="N75" s="13" t="str">
        <f t="shared" si="7"/>
        <v/>
      </c>
      <c r="O75" s="22" t="str">
        <f t="shared" ca="1" si="8"/>
        <v/>
      </c>
      <c r="P75" s="17" t="str">
        <f t="shared" si="9"/>
        <v/>
      </c>
      <c r="Q75" s="11"/>
      <c r="R75" s="19"/>
      <c r="S75" s="19"/>
      <c r="U75">
        <f ca="1">IF(AND(ISNUMBER(O75),O75&lt;=設定!$C$4),1,0)</f>
        <v>0</v>
      </c>
      <c r="V75" t="str">
        <f ca="1">IF(U75=1,SUM($U$10:U75),"")</f>
        <v/>
      </c>
    </row>
    <row r="76" spans="2:22">
      <c r="B76" s="8" t="str">
        <f>IF(C76="","",COUNT($C$10:C76))</f>
        <v/>
      </c>
      <c r="C76" s="20"/>
      <c r="D76" s="11"/>
      <c r="E76" s="9"/>
      <c r="F76" s="21" t="str">
        <f>IF(E76="","",IFERROR(INDEX(食材マスタ!$D$10:$D$309,MATCH(E76,食材マスタ!$C$10:$C$309,0)),"※コード未登録"))</f>
        <v/>
      </c>
      <c r="G76" s="16"/>
      <c r="H76" s="8" t="str">
        <f>IF(E76="","",IFERROR(INDEX(食材マスタ!$H$10:$H$309,MATCH(E76,食材マスタ!$C$10:$C$309,0)),""))</f>
        <v/>
      </c>
      <c r="I76" s="15" t="str">
        <f>IF(E76="","",IFERROR(INDEX(食材マスタ!$K$10:$K$309,MATCH(E76,食材マスタ!$C$10:$C$309,0)),""))</f>
        <v/>
      </c>
      <c r="J76" s="15" t="str">
        <f t="shared" si="5"/>
        <v/>
      </c>
      <c r="K76" s="20"/>
      <c r="L76" s="8" t="str">
        <f t="shared" si="6"/>
        <v/>
      </c>
      <c r="M76" s="9"/>
      <c r="N76" s="13" t="str">
        <f t="shared" si="7"/>
        <v/>
      </c>
      <c r="O76" s="22" t="str">
        <f t="shared" ca="1" si="8"/>
        <v/>
      </c>
      <c r="P76" s="17" t="str">
        <f t="shared" si="9"/>
        <v/>
      </c>
      <c r="Q76" s="11"/>
      <c r="R76" s="19"/>
      <c r="S76" s="19"/>
      <c r="U76">
        <f ca="1">IF(AND(ISNUMBER(O76),O76&lt;=設定!$C$4),1,0)</f>
        <v>0</v>
      </c>
      <c r="V76" t="str">
        <f ca="1">IF(U76=1,SUM($U$10:U76),"")</f>
        <v/>
      </c>
    </row>
    <row r="77" spans="2:22">
      <c r="B77" s="8" t="str">
        <f>IF(C77="","",COUNT($C$10:C77))</f>
        <v/>
      </c>
      <c r="C77" s="20"/>
      <c r="D77" s="11"/>
      <c r="E77" s="9"/>
      <c r="F77" s="21" t="str">
        <f>IF(E77="","",IFERROR(INDEX(食材マスタ!$D$10:$D$309,MATCH(E77,食材マスタ!$C$10:$C$309,0)),"※コード未登録"))</f>
        <v/>
      </c>
      <c r="G77" s="16"/>
      <c r="H77" s="8" t="str">
        <f>IF(E77="","",IFERROR(INDEX(食材マスタ!$H$10:$H$309,MATCH(E77,食材マスタ!$C$10:$C$309,0)),""))</f>
        <v/>
      </c>
      <c r="I77" s="15" t="str">
        <f>IF(E77="","",IFERROR(INDEX(食材マスタ!$K$10:$K$309,MATCH(E77,食材マスタ!$C$10:$C$309,0)),""))</f>
        <v/>
      </c>
      <c r="J77" s="15" t="str">
        <f t="shared" si="5"/>
        <v/>
      </c>
      <c r="K77" s="20"/>
      <c r="L77" s="8" t="str">
        <f t="shared" si="6"/>
        <v/>
      </c>
      <c r="M77" s="9"/>
      <c r="N77" s="13" t="str">
        <f t="shared" si="7"/>
        <v/>
      </c>
      <c r="O77" s="22" t="str">
        <f t="shared" ca="1" si="8"/>
        <v/>
      </c>
      <c r="P77" s="17" t="str">
        <f t="shared" si="9"/>
        <v/>
      </c>
      <c r="Q77" s="11"/>
      <c r="R77" s="19"/>
      <c r="S77" s="19"/>
      <c r="U77">
        <f ca="1">IF(AND(ISNUMBER(O77),O77&lt;=設定!$C$4),1,0)</f>
        <v>0</v>
      </c>
      <c r="V77" t="str">
        <f ca="1">IF(U77=1,SUM($U$10:U77),"")</f>
        <v/>
      </c>
    </row>
    <row r="78" spans="2:22">
      <c r="B78" s="8" t="str">
        <f>IF(C78="","",COUNT($C$10:C78))</f>
        <v/>
      </c>
      <c r="C78" s="20"/>
      <c r="D78" s="11"/>
      <c r="E78" s="9"/>
      <c r="F78" s="21" t="str">
        <f>IF(E78="","",IFERROR(INDEX(食材マスタ!$D$10:$D$309,MATCH(E78,食材マスタ!$C$10:$C$309,0)),"※コード未登録"))</f>
        <v/>
      </c>
      <c r="G78" s="16"/>
      <c r="H78" s="8" t="str">
        <f>IF(E78="","",IFERROR(INDEX(食材マスタ!$H$10:$H$309,MATCH(E78,食材マスタ!$C$10:$C$309,0)),""))</f>
        <v/>
      </c>
      <c r="I78" s="15" t="str">
        <f>IF(E78="","",IFERROR(INDEX(食材マスタ!$K$10:$K$309,MATCH(E78,食材マスタ!$C$10:$C$309,0)),""))</f>
        <v/>
      </c>
      <c r="J78" s="15" t="str">
        <f t="shared" si="5"/>
        <v/>
      </c>
      <c r="K78" s="20"/>
      <c r="L78" s="8" t="str">
        <f t="shared" si="6"/>
        <v/>
      </c>
      <c r="M78" s="9"/>
      <c r="N78" s="13" t="str">
        <f t="shared" si="7"/>
        <v/>
      </c>
      <c r="O78" s="22" t="str">
        <f t="shared" ca="1" si="8"/>
        <v/>
      </c>
      <c r="P78" s="17" t="str">
        <f t="shared" si="9"/>
        <v/>
      </c>
      <c r="Q78" s="11"/>
      <c r="R78" s="19"/>
      <c r="S78" s="19"/>
      <c r="U78">
        <f ca="1">IF(AND(ISNUMBER(O78),O78&lt;=設定!$C$4),1,0)</f>
        <v>0</v>
      </c>
      <c r="V78" t="str">
        <f ca="1">IF(U78=1,SUM($U$10:U78),"")</f>
        <v/>
      </c>
    </row>
    <row r="79" spans="2:22">
      <c r="B79" s="8" t="str">
        <f>IF(C79="","",COUNT($C$10:C79))</f>
        <v/>
      </c>
      <c r="C79" s="20"/>
      <c r="D79" s="11"/>
      <c r="E79" s="9"/>
      <c r="F79" s="21" t="str">
        <f>IF(E79="","",IFERROR(INDEX(食材マスタ!$D$10:$D$309,MATCH(E79,食材マスタ!$C$10:$C$309,0)),"※コード未登録"))</f>
        <v/>
      </c>
      <c r="G79" s="16"/>
      <c r="H79" s="8" t="str">
        <f>IF(E79="","",IFERROR(INDEX(食材マスタ!$H$10:$H$309,MATCH(E79,食材マスタ!$C$10:$C$309,0)),""))</f>
        <v/>
      </c>
      <c r="I79" s="15" t="str">
        <f>IF(E79="","",IFERROR(INDEX(食材マスタ!$K$10:$K$309,MATCH(E79,食材マスタ!$C$10:$C$309,0)),""))</f>
        <v/>
      </c>
      <c r="J79" s="15" t="str">
        <f t="shared" si="5"/>
        <v/>
      </c>
      <c r="K79" s="20"/>
      <c r="L79" s="8" t="str">
        <f t="shared" si="6"/>
        <v/>
      </c>
      <c r="M79" s="9"/>
      <c r="N79" s="13" t="str">
        <f t="shared" si="7"/>
        <v/>
      </c>
      <c r="O79" s="22" t="str">
        <f t="shared" ca="1" si="8"/>
        <v/>
      </c>
      <c r="P79" s="17" t="str">
        <f t="shared" si="9"/>
        <v/>
      </c>
      <c r="Q79" s="11"/>
      <c r="R79" s="19"/>
      <c r="S79" s="19"/>
      <c r="U79">
        <f ca="1">IF(AND(ISNUMBER(O79),O79&lt;=設定!$C$4),1,0)</f>
        <v>0</v>
      </c>
      <c r="V79" t="str">
        <f ca="1">IF(U79=1,SUM($U$10:U79),"")</f>
        <v/>
      </c>
    </row>
    <row r="80" spans="2:22">
      <c r="B80" s="8" t="str">
        <f>IF(C80="","",COUNT($C$10:C80))</f>
        <v/>
      </c>
      <c r="C80" s="20"/>
      <c r="D80" s="11"/>
      <c r="E80" s="9"/>
      <c r="F80" s="21" t="str">
        <f>IF(E80="","",IFERROR(INDEX(食材マスタ!$D$10:$D$309,MATCH(E80,食材マスタ!$C$10:$C$309,0)),"※コード未登録"))</f>
        <v/>
      </c>
      <c r="G80" s="16"/>
      <c r="H80" s="8" t="str">
        <f>IF(E80="","",IFERROR(INDEX(食材マスタ!$H$10:$H$309,MATCH(E80,食材マスタ!$C$10:$C$309,0)),""))</f>
        <v/>
      </c>
      <c r="I80" s="15" t="str">
        <f>IF(E80="","",IFERROR(INDEX(食材マスタ!$K$10:$K$309,MATCH(E80,食材マスタ!$C$10:$C$309,0)),""))</f>
        <v/>
      </c>
      <c r="J80" s="15" t="str">
        <f t="shared" si="5"/>
        <v/>
      </c>
      <c r="K80" s="20"/>
      <c r="L80" s="8" t="str">
        <f t="shared" si="6"/>
        <v/>
      </c>
      <c r="M80" s="9"/>
      <c r="N80" s="13" t="str">
        <f t="shared" si="7"/>
        <v/>
      </c>
      <c r="O80" s="22" t="str">
        <f t="shared" ca="1" si="8"/>
        <v/>
      </c>
      <c r="P80" s="17" t="str">
        <f t="shared" si="9"/>
        <v/>
      </c>
      <c r="Q80" s="11"/>
      <c r="R80" s="19"/>
      <c r="S80" s="19"/>
      <c r="U80">
        <f ca="1">IF(AND(ISNUMBER(O80),O80&lt;=設定!$C$4),1,0)</f>
        <v>0</v>
      </c>
      <c r="V80" t="str">
        <f ca="1">IF(U80=1,SUM($U$10:U80),"")</f>
        <v/>
      </c>
    </row>
    <row r="81" spans="2:22">
      <c r="B81" s="8" t="str">
        <f>IF(C81="","",COUNT($C$10:C81))</f>
        <v/>
      </c>
      <c r="C81" s="20"/>
      <c r="D81" s="11"/>
      <c r="E81" s="9"/>
      <c r="F81" s="21" t="str">
        <f>IF(E81="","",IFERROR(INDEX(食材マスタ!$D$10:$D$309,MATCH(E81,食材マスタ!$C$10:$C$309,0)),"※コード未登録"))</f>
        <v/>
      </c>
      <c r="G81" s="16"/>
      <c r="H81" s="8" t="str">
        <f>IF(E81="","",IFERROR(INDEX(食材マスタ!$H$10:$H$309,MATCH(E81,食材マスタ!$C$10:$C$309,0)),""))</f>
        <v/>
      </c>
      <c r="I81" s="15" t="str">
        <f>IF(E81="","",IFERROR(INDEX(食材マスタ!$K$10:$K$309,MATCH(E81,食材マスタ!$C$10:$C$309,0)),""))</f>
        <v/>
      </c>
      <c r="J81" s="15" t="str">
        <f t="shared" si="5"/>
        <v/>
      </c>
      <c r="K81" s="20"/>
      <c r="L81" s="8" t="str">
        <f t="shared" si="6"/>
        <v/>
      </c>
      <c r="M81" s="9"/>
      <c r="N81" s="13" t="str">
        <f t="shared" si="7"/>
        <v/>
      </c>
      <c r="O81" s="22" t="str">
        <f t="shared" ca="1" si="8"/>
        <v/>
      </c>
      <c r="P81" s="17" t="str">
        <f t="shared" si="9"/>
        <v/>
      </c>
      <c r="Q81" s="11"/>
      <c r="R81" s="19"/>
      <c r="S81" s="19"/>
      <c r="U81">
        <f ca="1">IF(AND(ISNUMBER(O81),O81&lt;=設定!$C$4),1,0)</f>
        <v>0</v>
      </c>
      <c r="V81" t="str">
        <f ca="1">IF(U81=1,SUM($U$10:U81),"")</f>
        <v/>
      </c>
    </row>
    <row r="82" spans="2:22">
      <c r="B82" s="8" t="str">
        <f>IF(C82="","",COUNT($C$10:C82))</f>
        <v/>
      </c>
      <c r="C82" s="20"/>
      <c r="D82" s="11"/>
      <c r="E82" s="9"/>
      <c r="F82" s="21" t="str">
        <f>IF(E82="","",IFERROR(INDEX(食材マスタ!$D$10:$D$309,MATCH(E82,食材マスタ!$C$10:$C$309,0)),"※コード未登録"))</f>
        <v/>
      </c>
      <c r="G82" s="16"/>
      <c r="H82" s="8" t="str">
        <f>IF(E82="","",IFERROR(INDEX(食材マスタ!$H$10:$H$309,MATCH(E82,食材マスタ!$C$10:$C$309,0)),""))</f>
        <v/>
      </c>
      <c r="I82" s="15" t="str">
        <f>IF(E82="","",IFERROR(INDEX(食材マスタ!$K$10:$K$309,MATCH(E82,食材マスタ!$C$10:$C$309,0)),""))</f>
        <v/>
      </c>
      <c r="J82" s="15" t="str">
        <f t="shared" si="5"/>
        <v/>
      </c>
      <c r="K82" s="20"/>
      <c r="L82" s="8" t="str">
        <f t="shared" si="6"/>
        <v/>
      </c>
      <c r="M82" s="9"/>
      <c r="N82" s="13" t="str">
        <f t="shared" si="7"/>
        <v/>
      </c>
      <c r="O82" s="22" t="str">
        <f t="shared" ca="1" si="8"/>
        <v/>
      </c>
      <c r="P82" s="17" t="str">
        <f t="shared" si="9"/>
        <v/>
      </c>
      <c r="Q82" s="11"/>
      <c r="R82" s="19"/>
      <c r="S82" s="19"/>
      <c r="U82">
        <f ca="1">IF(AND(ISNUMBER(O82),O82&lt;=設定!$C$4),1,0)</f>
        <v>0</v>
      </c>
      <c r="V82" t="str">
        <f ca="1">IF(U82=1,SUM($U$10:U82),"")</f>
        <v/>
      </c>
    </row>
    <row r="83" spans="2:22">
      <c r="B83" s="8" t="str">
        <f>IF(C83="","",COUNT($C$10:C83))</f>
        <v/>
      </c>
      <c r="C83" s="20"/>
      <c r="D83" s="11"/>
      <c r="E83" s="9"/>
      <c r="F83" s="21" t="str">
        <f>IF(E83="","",IFERROR(INDEX(食材マスタ!$D$10:$D$309,MATCH(E83,食材マスタ!$C$10:$C$309,0)),"※コード未登録"))</f>
        <v/>
      </c>
      <c r="G83" s="16"/>
      <c r="H83" s="8" t="str">
        <f>IF(E83="","",IFERROR(INDEX(食材マスタ!$H$10:$H$309,MATCH(E83,食材マスタ!$C$10:$C$309,0)),""))</f>
        <v/>
      </c>
      <c r="I83" s="15" t="str">
        <f>IF(E83="","",IFERROR(INDEX(食材マスタ!$K$10:$K$309,MATCH(E83,食材マスタ!$C$10:$C$309,0)),""))</f>
        <v/>
      </c>
      <c r="J83" s="15" t="str">
        <f t="shared" si="5"/>
        <v/>
      </c>
      <c r="K83" s="20"/>
      <c r="L83" s="8" t="str">
        <f t="shared" si="6"/>
        <v/>
      </c>
      <c r="M83" s="9"/>
      <c r="N83" s="13" t="str">
        <f t="shared" si="7"/>
        <v/>
      </c>
      <c r="O83" s="22" t="str">
        <f t="shared" ca="1" si="8"/>
        <v/>
      </c>
      <c r="P83" s="17" t="str">
        <f t="shared" si="9"/>
        <v/>
      </c>
      <c r="Q83" s="11"/>
      <c r="R83" s="19"/>
      <c r="S83" s="19"/>
      <c r="U83">
        <f ca="1">IF(AND(ISNUMBER(O83),O83&lt;=設定!$C$4),1,0)</f>
        <v>0</v>
      </c>
      <c r="V83" t="str">
        <f ca="1">IF(U83=1,SUM($U$10:U83),"")</f>
        <v/>
      </c>
    </row>
    <row r="84" spans="2:22">
      <c r="B84" s="8" t="str">
        <f>IF(C84="","",COUNT($C$10:C84))</f>
        <v/>
      </c>
      <c r="C84" s="20"/>
      <c r="D84" s="11"/>
      <c r="E84" s="9"/>
      <c r="F84" s="21" t="str">
        <f>IF(E84="","",IFERROR(INDEX(食材マスタ!$D$10:$D$309,MATCH(E84,食材マスタ!$C$10:$C$309,0)),"※コード未登録"))</f>
        <v/>
      </c>
      <c r="G84" s="16"/>
      <c r="H84" s="8" t="str">
        <f>IF(E84="","",IFERROR(INDEX(食材マスタ!$H$10:$H$309,MATCH(E84,食材マスタ!$C$10:$C$309,0)),""))</f>
        <v/>
      </c>
      <c r="I84" s="15" t="str">
        <f>IF(E84="","",IFERROR(INDEX(食材マスタ!$K$10:$K$309,MATCH(E84,食材マスタ!$C$10:$C$309,0)),""))</f>
        <v/>
      </c>
      <c r="J84" s="15" t="str">
        <f t="shared" si="5"/>
        <v/>
      </c>
      <c r="K84" s="20"/>
      <c r="L84" s="8" t="str">
        <f t="shared" si="6"/>
        <v/>
      </c>
      <c r="M84" s="9"/>
      <c r="N84" s="13" t="str">
        <f t="shared" si="7"/>
        <v/>
      </c>
      <c r="O84" s="22" t="str">
        <f t="shared" ca="1" si="8"/>
        <v/>
      </c>
      <c r="P84" s="17" t="str">
        <f t="shared" si="9"/>
        <v/>
      </c>
      <c r="Q84" s="11"/>
      <c r="R84" s="19"/>
      <c r="S84" s="19"/>
      <c r="U84">
        <f ca="1">IF(AND(ISNUMBER(O84),O84&lt;=設定!$C$4),1,0)</f>
        <v>0</v>
      </c>
      <c r="V84" t="str">
        <f ca="1">IF(U84=1,SUM($U$10:U84),"")</f>
        <v/>
      </c>
    </row>
    <row r="85" spans="2:22">
      <c r="B85" s="8" t="str">
        <f>IF(C85="","",COUNT($C$10:C85))</f>
        <v/>
      </c>
      <c r="C85" s="20"/>
      <c r="D85" s="11"/>
      <c r="E85" s="9"/>
      <c r="F85" s="21" t="str">
        <f>IF(E85="","",IFERROR(INDEX(食材マスタ!$D$10:$D$309,MATCH(E85,食材マスタ!$C$10:$C$309,0)),"※コード未登録"))</f>
        <v/>
      </c>
      <c r="G85" s="16"/>
      <c r="H85" s="8" t="str">
        <f>IF(E85="","",IFERROR(INDEX(食材マスタ!$H$10:$H$309,MATCH(E85,食材マスタ!$C$10:$C$309,0)),""))</f>
        <v/>
      </c>
      <c r="I85" s="15" t="str">
        <f>IF(E85="","",IFERROR(INDEX(食材マスタ!$K$10:$K$309,MATCH(E85,食材マスタ!$C$10:$C$309,0)),""))</f>
        <v/>
      </c>
      <c r="J85" s="15" t="str">
        <f t="shared" si="5"/>
        <v/>
      </c>
      <c r="K85" s="20"/>
      <c r="L85" s="8" t="str">
        <f t="shared" si="6"/>
        <v/>
      </c>
      <c r="M85" s="9"/>
      <c r="N85" s="13" t="str">
        <f t="shared" si="7"/>
        <v/>
      </c>
      <c r="O85" s="22" t="str">
        <f t="shared" ca="1" si="8"/>
        <v/>
      </c>
      <c r="P85" s="17" t="str">
        <f t="shared" si="9"/>
        <v/>
      </c>
      <c r="Q85" s="11"/>
      <c r="R85" s="19"/>
      <c r="S85" s="19"/>
      <c r="U85">
        <f ca="1">IF(AND(ISNUMBER(O85),O85&lt;=設定!$C$4),1,0)</f>
        <v>0</v>
      </c>
      <c r="V85" t="str">
        <f ca="1">IF(U85=1,SUM($U$10:U85),"")</f>
        <v/>
      </c>
    </row>
    <row r="86" spans="2:22">
      <c r="B86" s="8" t="str">
        <f>IF(C86="","",COUNT($C$10:C86))</f>
        <v/>
      </c>
      <c r="C86" s="20"/>
      <c r="D86" s="11"/>
      <c r="E86" s="9"/>
      <c r="F86" s="21" t="str">
        <f>IF(E86="","",IFERROR(INDEX(食材マスタ!$D$10:$D$309,MATCH(E86,食材マスタ!$C$10:$C$309,0)),"※コード未登録"))</f>
        <v/>
      </c>
      <c r="G86" s="16"/>
      <c r="H86" s="8" t="str">
        <f>IF(E86="","",IFERROR(INDEX(食材マスタ!$H$10:$H$309,MATCH(E86,食材マスタ!$C$10:$C$309,0)),""))</f>
        <v/>
      </c>
      <c r="I86" s="15" t="str">
        <f>IF(E86="","",IFERROR(INDEX(食材マスタ!$K$10:$K$309,MATCH(E86,食材マスタ!$C$10:$C$309,0)),""))</f>
        <v/>
      </c>
      <c r="J86" s="15" t="str">
        <f t="shared" si="5"/>
        <v/>
      </c>
      <c r="K86" s="20"/>
      <c r="L86" s="8" t="str">
        <f t="shared" si="6"/>
        <v/>
      </c>
      <c r="M86" s="9"/>
      <c r="N86" s="13" t="str">
        <f t="shared" si="7"/>
        <v/>
      </c>
      <c r="O86" s="22" t="str">
        <f t="shared" ca="1" si="8"/>
        <v/>
      </c>
      <c r="P86" s="17" t="str">
        <f t="shared" si="9"/>
        <v/>
      </c>
      <c r="Q86" s="11"/>
      <c r="R86" s="19"/>
      <c r="S86" s="19"/>
      <c r="U86">
        <f ca="1">IF(AND(ISNUMBER(O86),O86&lt;=設定!$C$4),1,0)</f>
        <v>0</v>
      </c>
      <c r="V86" t="str">
        <f ca="1">IF(U86=1,SUM($U$10:U86),"")</f>
        <v/>
      </c>
    </row>
    <row r="87" spans="2:22">
      <c r="B87" s="8" t="str">
        <f>IF(C87="","",COUNT($C$10:C87))</f>
        <v/>
      </c>
      <c r="C87" s="20"/>
      <c r="D87" s="11"/>
      <c r="E87" s="9"/>
      <c r="F87" s="21" t="str">
        <f>IF(E87="","",IFERROR(INDEX(食材マスタ!$D$10:$D$309,MATCH(E87,食材マスタ!$C$10:$C$309,0)),"※コード未登録"))</f>
        <v/>
      </c>
      <c r="G87" s="16"/>
      <c r="H87" s="8" t="str">
        <f>IF(E87="","",IFERROR(INDEX(食材マスタ!$H$10:$H$309,MATCH(E87,食材マスタ!$C$10:$C$309,0)),""))</f>
        <v/>
      </c>
      <c r="I87" s="15" t="str">
        <f>IF(E87="","",IFERROR(INDEX(食材マスタ!$K$10:$K$309,MATCH(E87,食材マスタ!$C$10:$C$309,0)),""))</f>
        <v/>
      </c>
      <c r="J87" s="15" t="str">
        <f t="shared" si="5"/>
        <v/>
      </c>
      <c r="K87" s="20"/>
      <c r="L87" s="8" t="str">
        <f t="shared" si="6"/>
        <v/>
      </c>
      <c r="M87" s="9"/>
      <c r="N87" s="13" t="str">
        <f t="shared" si="7"/>
        <v/>
      </c>
      <c r="O87" s="22" t="str">
        <f t="shared" ca="1" si="8"/>
        <v/>
      </c>
      <c r="P87" s="17" t="str">
        <f t="shared" si="9"/>
        <v/>
      </c>
      <c r="Q87" s="11"/>
      <c r="R87" s="19"/>
      <c r="S87" s="19"/>
      <c r="U87">
        <f ca="1">IF(AND(ISNUMBER(O87),O87&lt;=設定!$C$4),1,0)</f>
        <v>0</v>
      </c>
      <c r="V87" t="str">
        <f ca="1">IF(U87=1,SUM($U$10:U87),"")</f>
        <v/>
      </c>
    </row>
    <row r="88" spans="2:22">
      <c r="B88" s="8" t="str">
        <f>IF(C88="","",COUNT($C$10:C88))</f>
        <v/>
      </c>
      <c r="C88" s="20"/>
      <c r="D88" s="11"/>
      <c r="E88" s="9"/>
      <c r="F88" s="21" t="str">
        <f>IF(E88="","",IFERROR(INDEX(食材マスタ!$D$10:$D$309,MATCH(E88,食材マスタ!$C$10:$C$309,0)),"※コード未登録"))</f>
        <v/>
      </c>
      <c r="G88" s="16"/>
      <c r="H88" s="8" t="str">
        <f>IF(E88="","",IFERROR(INDEX(食材マスタ!$H$10:$H$309,MATCH(E88,食材マスタ!$C$10:$C$309,0)),""))</f>
        <v/>
      </c>
      <c r="I88" s="15" t="str">
        <f>IF(E88="","",IFERROR(INDEX(食材マスタ!$K$10:$K$309,MATCH(E88,食材マスタ!$C$10:$C$309,0)),""))</f>
        <v/>
      </c>
      <c r="J88" s="15" t="str">
        <f t="shared" si="5"/>
        <v/>
      </c>
      <c r="K88" s="20"/>
      <c r="L88" s="8" t="str">
        <f t="shared" si="6"/>
        <v/>
      </c>
      <c r="M88" s="9"/>
      <c r="N88" s="13" t="str">
        <f t="shared" si="7"/>
        <v/>
      </c>
      <c r="O88" s="22" t="str">
        <f t="shared" ca="1" si="8"/>
        <v/>
      </c>
      <c r="P88" s="17" t="str">
        <f t="shared" si="9"/>
        <v/>
      </c>
      <c r="Q88" s="11"/>
      <c r="R88" s="19"/>
      <c r="S88" s="19"/>
      <c r="U88">
        <f ca="1">IF(AND(ISNUMBER(O88),O88&lt;=設定!$C$4),1,0)</f>
        <v>0</v>
      </c>
      <c r="V88" t="str">
        <f ca="1">IF(U88=1,SUM($U$10:U88),"")</f>
        <v/>
      </c>
    </row>
    <row r="89" spans="2:22">
      <c r="B89" s="8" t="str">
        <f>IF(C89="","",COUNT($C$10:C89))</f>
        <v/>
      </c>
      <c r="C89" s="20"/>
      <c r="D89" s="11"/>
      <c r="E89" s="9"/>
      <c r="F89" s="21" t="str">
        <f>IF(E89="","",IFERROR(INDEX(食材マスタ!$D$10:$D$309,MATCH(E89,食材マスタ!$C$10:$C$309,0)),"※コード未登録"))</f>
        <v/>
      </c>
      <c r="G89" s="16"/>
      <c r="H89" s="8" t="str">
        <f>IF(E89="","",IFERROR(INDEX(食材マスタ!$H$10:$H$309,MATCH(E89,食材マスタ!$C$10:$C$309,0)),""))</f>
        <v/>
      </c>
      <c r="I89" s="15" t="str">
        <f>IF(E89="","",IFERROR(INDEX(食材マスタ!$K$10:$K$309,MATCH(E89,食材マスタ!$C$10:$C$309,0)),""))</f>
        <v/>
      </c>
      <c r="J89" s="15" t="str">
        <f t="shared" si="5"/>
        <v/>
      </c>
      <c r="K89" s="20"/>
      <c r="L89" s="8" t="str">
        <f t="shared" si="6"/>
        <v/>
      </c>
      <c r="M89" s="9"/>
      <c r="N89" s="13" t="str">
        <f t="shared" si="7"/>
        <v/>
      </c>
      <c r="O89" s="22" t="str">
        <f t="shared" ca="1" si="8"/>
        <v/>
      </c>
      <c r="P89" s="17" t="str">
        <f t="shared" si="9"/>
        <v/>
      </c>
      <c r="Q89" s="11"/>
      <c r="R89" s="19"/>
      <c r="S89" s="19"/>
      <c r="U89">
        <f ca="1">IF(AND(ISNUMBER(O89),O89&lt;=設定!$C$4),1,0)</f>
        <v>0</v>
      </c>
      <c r="V89" t="str">
        <f ca="1">IF(U89=1,SUM($U$10:U89),"")</f>
        <v/>
      </c>
    </row>
    <row r="90" spans="2:22">
      <c r="B90" s="8" t="str">
        <f>IF(C90="","",COUNT($C$10:C90))</f>
        <v/>
      </c>
      <c r="C90" s="20"/>
      <c r="D90" s="11"/>
      <c r="E90" s="9"/>
      <c r="F90" s="21" t="str">
        <f>IF(E90="","",IFERROR(INDEX(食材マスタ!$D$10:$D$309,MATCH(E90,食材マスタ!$C$10:$C$309,0)),"※コード未登録"))</f>
        <v/>
      </c>
      <c r="G90" s="16"/>
      <c r="H90" s="8" t="str">
        <f>IF(E90="","",IFERROR(INDEX(食材マスタ!$H$10:$H$309,MATCH(E90,食材マスタ!$C$10:$C$309,0)),""))</f>
        <v/>
      </c>
      <c r="I90" s="15" t="str">
        <f>IF(E90="","",IFERROR(INDEX(食材マスタ!$K$10:$K$309,MATCH(E90,食材マスタ!$C$10:$C$309,0)),""))</f>
        <v/>
      </c>
      <c r="J90" s="15" t="str">
        <f t="shared" si="5"/>
        <v/>
      </c>
      <c r="K90" s="20"/>
      <c r="L90" s="8" t="str">
        <f t="shared" si="6"/>
        <v/>
      </c>
      <c r="M90" s="9"/>
      <c r="N90" s="13" t="str">
        <f t="shared" si="7"/>
        <v/>
      </c>
      <c r="O90" s="22" t="str">
        <f t="shared" ca="1" si="8"/>
        <v/>
      </c>
      <c r="P90" s="17" t="str">
        <f t="shared" si="9"/>
        <v/>
      </c>
      <c r="Q90" s="11"/>
      <c r="R90" s="19"/>
      <c r="S90" s="19"/>
      <c r="U90">
        <f ca="1">IF(AND(ISNUMBER(O90),O90&lt;=設定!$C$4),1,0)</f>
        <v>0</v>
      </c>
      <c r="V90" t="str">
        <f ca="1">IF(U90=1,SUM($U$10:U90),"")</f>
        <v/>
      </c>
    </row>
    <row r="91" spans="2:22">
      <c r="B91" s="8" t="str">
        <f>IF(C91="","",COUNT($C$10:C91))</f>
        <v/>
      </c>
      <c r="C91" s="20"/>
      <c r="D91" s="11"/>
      <c r="E91" s="9"/>
      <c r="F91" s="21" t="str">
        <f>IF(E91="","",IFERROR(INDEX(食材マスタ!$D$10:$D$309,MATCH(E91,食材マスタ!$C$10:$C$309,0)),"※コード未登録"))</f>
        <v/>
      </c>
      <c r="G91" s="16"/>
      <c r="H91" s="8" t="str">
        <f>IF(E91="","",IFERROR(INDEX(食材マスタ!$H$10:$H$309,MATCH(E91,食材マスタ!$C$10:$C$309,0)),""))</f>
        <v/>
      </c>
      <c r="I91" s="15" t="str">
        <f>IF(E91="","",IFERROR(INDEX(食材マスタ!$K$10:$K$309,MATCH(E91,食材マスタ!$C$10:$C$309,0)),""))</f>
        <v/>
      </c>
      <c r="J91" s="15" t="str">
        <f t="shared" si="5"/>
        <v/>
      </c>
      <c r="K91" s="20"/>
      <c r="L91" s="8" t="str">
        <f t="shared" si="6"/>
        <v/>
      </c>
      <c r="M91" s="9"/>
      <c r="N91" s="13" t="str">
        <f t="shared" si="7"/>
        <v/>
      </c>
      <c r="O91" s="22" t="str">
        <f t="shared" ca="1" si="8"/>
        <v/>
      </c>
      <c r="P91" s="17" t="str">
        <f t="shared" si="9"/>
        <v/>
      </c>
      <c r="Q91" s="11"/>
      <c r="R91" s="19"/>
      <c r="S91" s="19"/>
      <c r="U91">
        <f ca="1">IF(AND(ISNUMBER(O91),O91&lt;=設定!$C$4),1,0)</f>
        <v>0</v>
      </c>
      <c r="V91" t="str">
        <f ca="1">IF(U91=1,SUM($U$10:U91),"")</f>
        <v/>
      </c>
    </row>
    <row r="92" spans="2:22">
      <c r="B92" s="8" t="str">
        <f>IF(C92="","",COUNT($C$10:C92))</f>
        <v/>
      </c>
      <c r="C92" s="20"/>
      <c r="D92" s="11"/>
      <c r="E92" s="9"/>
      <c r="F92" s="21" t="str">
        <f>IF(E92="","",IFERROR(INDEX(食材マスタ!$D$10:$D$309,MATCH(E92,食材マスタ!$C$10:$C$309,0)),"※コード未登録"))</f>
        <v/>
      </c>
      <c r="G92" s="16"/>
      <c r="H92" s="8" t="str">
        <f>IF(E92="","",IFERROR(INDEX(食材マスタ!$H$10:$H$309,MATCH(E92,食材マスタ!$C$10:$C$309,0)),""))</f>
        <v/>
      </c>
      <c r="I92" s="15" t="str">
        <f>IF(E92="","",IFERROR(INDEX(食材マスタ!$K$10:$K$309,MATCH(E92,食材マスタ!$C$10:$C$309,0)),""))</f>
        <v/>
      </c>
      <c r="J92" s="15" t="str">
        <f t="shared" si="5"/>
        <v/>
      </c>
      <c r="K92" s="20"/>
      <c r="L92" s="8" t="str">
        <f t="shared" si="6"/>
        <v/>
      </c>
      <c r="M92" s="9"/>
      <c r="N92" s="13" t="str">
        <f t="shared" si="7"/>
        <v/>
      </c>
      <c r="O92" s="22" t="str">
        <f t="shared" ca="1" si="8"/>
        <v/>
      </c>
      <c r="P92" s="17" t="str">
        <f t="shared" si="9"/>
        <v/>
      </c>
      <c r="Q92" s="11"/>
      <c r="R92" s="19"/>
      <c r="S92" s="19"/>
      <c r="U92">
        <f ca="1">IF(AND(ISNUMBER(O92),O92&lt;=設定!$C$4),1,0)</f>
        <v>0</v>
      </c>
      <c r="V92" t="str">
        <f ca="1">IF(U92=1,SUM($U$10:U92),"")</f>
        <v/>
      </c>
    </row>
    <row r="93" spans="2:22">
      <c r="B93" s="8" t="str">
        <f>IF(C93="","",COUNT($C$10:C93))</f>
        <v/>
      </c>
      <c r="C93" s="20"/>
      <c r="D93" s="11"/>
      <c r="E93" s="9"/>
      <c r="F93" s="21" t="str">
        <f>IF(E93="","",IFERROR(INDEX(食材マスタ!$D$10:$D$309,MATCH(E93,食材マスタ!$C$10:$C$309,0)),"※コード未登録"))</f>
        <v/>
      </c>
      <c r="G93" s="16"/>
      <c r="H93" s="8" t="str">
        <f>IF(E93="","",IFERROR(INDEX(食材マスタ!$H$10:$H$309,MATCH(E93,食材マスタ!$C$10:$C$309,0)),""))</f>
        <v/>
      </c>
      <c r="I93" s="15" t="str">
        <f>IF(E93="","",IFERROR(INDEX(食材マスタ!$K$10:$K$309,MATCH(E93,食材マスタ!$C$10:$C$309,0)),""))</f>
        <v/>
      </c>
      <c r="J93" s="15" t="str">
        <f t="shared" si="5"/>
        <v/>
      </c>
      <c r="K93" s="20"/>
      <c r="L93" s="8" t="str">
        <f t="shared" si="6"/>
        <v/>
      </c>
      <c r="M93" s="9"/>
      <c r="N93" s="13" t="str">
        <f t="shared" si="7"/>
        <v/>
      </c>
      <c r="O93" s="22" t="str">
        <f t="shared" ca="1" si="8"/>
        <v/>
      </c>
      <c r="P93" s="17" t="str">
        <f t="shared" si="9"/>
        <v/>
      </c>
      <c r="Q93" s="11"/>
      <c r="R93" s="19"/>
      <c r="S93" s="19"/>
      <c r="U93">
        <f ca="1">IF(AND(ISNUMBER(O93),O93&lt;=設定!$C$4),1,0)</f>
        <v>0</v>
      </c>
      <c r="V93" t="str">
        <f ca="1">IF(U93=1,SUM($U$10:U93),"")</f>
        <v/>
      </c>
    </row>
    <row r="94" spans="2:22">
      <c r="B94" s="8" t="str">
        <f>IF(C94="","",COUNT($C$10:C94))</f>
        <v/>
      </c>
      <c r="C94" s="20"/>
      <c r="D94" s="11"/>
      <c r="E94" s="9"/>
      <c r="F94" s="21" t="str">
        <f>IF(E94="","",IFERROR(INDEX(食材マスタ!$D$10:$D$309,MATCH(E94,食材マスタ!$C$10:$C$309,0)),"※コード未登録"))</f>
        <v/>
      </c>
      <c r="G94" s="16"/>
      <c r="H94" s="8" t="str">
        <f>IF(E94="","",IFERROR(INDEX(食材マスタ!$H$10:$H$309,MATCH(E94,食材マスタ!$C$10:$C$309,0)),""))</f>
        <v/>
      </c>
      <c r="I94" s="15" t="str">
        <f>IF(E94="","",IFERROR(INDEX(食材マスタ!$K$10:$K$309,MATCH(E94,食材マスタ!$C$10:$C$309,0)),""))</f>
        <v/>
      </c>
      <c r="J94" s="15" t="str">
        <f t="shared" si="5"/>
        <v/>
      </c>
      <c r="K94" s="20"/>
      <c r="L94" s="8" t="str">
        <f t="shared" si="6"/>
        <v/>
      </c>
      <c r="M94" s="9"/>
      <c r="N94" s="13" t="str">
        <f t="shared" si="7"/>
        <v/>
      </c>
      <c r="O94" s="22" t="str">
        <f t="shared" ca="1" si="8"/>
        <v/>
      </c>
      <c r="P94" s="17" t="str">
        <f t="shared" si="9"/>
        <v/>
      </c>
      <c r="Q94" s="11"/>
      <c r="R94" s="19"/>
      <c r="S94" s="19"/>
      <c r="U94">
        <f ca="1">IF(AND(ISNUMBER(O94),O94&lt;=設定!$C$4),1,0)</f>
        <v>0</v>
      </c>
      <c r="V94" t="str">
        <f ca="1">IF(U94=1,SUM($U$10:U94),"")</f>
        <v/>
      </c>
    </row>
    <row r="95" spans="2:22">
      <c r="B95" s="8" t="str">
        <f>IF(C95="","",COUNT($C$10:C95))</f>
        <v/>
      </c>
      <c r="C95" s="20"/>
      <c r="D95" s="11"/>
      <c r="E95" s="9"/>
      <c r="F95" s="21" t="str">
        <f>IF(E95="","",IFERROR(INDEX(食材マスタ!$D$10:$D$309,MATCH(E95,食材マスタ!$C$10:$C$309,0)),"※コード未登録"))</f>
        <v/>
      </c>
      <c r="G95" s="16"/>
      <c r="H95" s="8" t="str">
        <f>IF(E95="","",IFERROR(INDEX(食材マスタ!$H$10:$H$309,MATCH(E95,食材マスタ!$C$10:$C$309,0)),""))</f>
        <v/>
      </c>
      <c r="I95" s="15" t="str">
        <f>IF(E95="","",IFERROR(INDEX(食材マスタ!$K$10:$K$309,MATCH(E95,食材マスタ!$C$10:$C$309,0)),""))</f>
        <v/>
      </c>
      <c r="J95" s="15" t="str">
        <f t="shared" si="5"/>
        <v/>
      </c>
      <c r="K95" s="20"/>
      <c r="L95" s="8" t="str">
        <f t="shared" si="6"/>
        <v/>
      </c>
      <c r="M95" s="9"/>
      <c r="N95" s="13" t="str">
        <f t="shared" si="7"/>
        <v/>
      </c>
      <c r="O95" s="22" t="str">
        <f t="shared" ca="1" si="8"/>
        <v/>
      </c>
      <c r="P95" s="17" t="str">
        <f t="shared" si="9"/>
        <v/>
      </c>
      <c r="Q95" s="11"/>
      <c r="R95" s="19"/>
      <c r="S95" s="19"/>
      <c r="U95">
        <f ca="1">IF(AND(ISNUMBER(O95),O95&lt;=設定!$C$4),1,0)</f>
        <v>0</v>
      </c>
      <c r="V95" t="str">
        <f ca="1">IF(U95=1,SUM($U$10:U95),"")</f>
        <v/>
      </c>
    </row>
    <row r="96" spans="2:22">
      <c r="B96" s="8" t="str">
        <f>IF(C96="","",COUNT($C$10:C96))</f>
        <v/>
      </c>
      <c r="C96" s="20"/>
      <c r="D96" s="11"/>
      <c r="E96" s="9"/>
      <c r="F96" s="21" t="str">
        <f>IF(E96="","",IFERROR(INDEX(食材マスタ!$D$10:$D$309,MATCH(E96,食材マスタ!$C$10:$C$309,0)),"※コード未登録"))</f>
        <v/>
      </c>
      <c r="G96" s="16"/>
      <c r="H96" s="8" t="str">
        <f>IF(E96="","",IFERROR(INDEX(食材マスタ!$H$10:$H$309,MATCH(E96,食材マスタ!$C$10:$C$309,0)),""))</f>
        <v/>
      </c>
      <c r="I96" s="15" t="str">
        <f>IF(E96="","",IFERROR(INDEX(食材マスタ!$K$10:$K$309,MATCH(E96,食材マスタ!$C$10:$C$309,0)),""))</f>
        <v/>
      </c>
      <c r="J96" s="15" t="str">
        <f t="shared" si="5"/>
        <v/>
      </c>
      <c r="K96" s="20"/>
      <c r="L96" s="8" t="str">
        <f t="shared" si="6"/>
        <v/>
      </c>
      <c r="M96" s="9"/>
      <c r="N96" s="13" t="str">
        <f t="shared" si="7"/>
        <v/>
      </c>
      <c r="O96" s="22" t="str">
        <f t="shared" ca="1" si="8"/>
        <v/>
      </c>
      <c r="P96" s="17" t="str">
        <f t="shared" si="9"/>
        <v/>
      </c>
      <c r="Q96" s="11"/>
      <c r="R96" s="19"/>
      <c r="S96" s="19"/>
      <c r="U96">
        <f ca="1">IF(AND(ISNUMBER(O96),O96&lt;=設定!$C$4),1,0)</f>
        <v>0</v>
      </c>
      <c r="V96" t="str">
        <f ca="1">IF(U96=1,SUM($U$10:U96),"")</f>
        <v/>
      </c>
    </row>
    <row r="97" spans="2:22">
      <c r="B97" s="8" t="str">
        <f>IF(C97="","",COUNT($C$10:C97))</f>
        <v/>
      </c>
      <c r="C97" s="20"/>
      <c r="D97" s="11"/>
      <c r="E97" s="9"/>
      <c r="F97" s="21" t="str">
        <f>IF(E97="","",IFERROR(INDEX(食材マスタ!$D$10:$D$309,MATCH(E97,食材マスタ!$C$10:$C$309,0)),"※コード未登録"))</f>
        <v/>
      </c>
      <c r="G97" s="16"/>
      <c r="H97" s="8" t="str">
        <f>IF(E97="","",IFERROR(INDEX(食材マスタ!$H$10:$H$309,MATCH(E97,食材マスタ!$C$10:$C$309,0)),""))</f>
        <v/>
      </c>
      <c r="I97" s="15" t="str">
        <f>IF(E97="","",IFERROR(INDEX(食材マスタ!$K$10:$K$309,MATCH(E97,食材マスタ!$C$10:$C$309,0)),""))</f>
        <v/>
      </c>
      <c r="J97" s="15" t="str">
        <f t="shared" si="5"/>
        <v/>
      </c>
      <c r="K97" s="20"/>
      <c r="L97" s="8" t="str">
        <f t="shared" si="6"/>
        <v/>
      </c>
      <c r="M97" s="9"/>
      <c r="N97" s="13" t="str">
        <f t="shared" si="7"/>
        <v/>
      </c>
      <c r="O97" s="22" t="str">
        <f t="shared" ca="1" si="8"/>
        <v/>
      </c>
      <c r="P97" s="17" t="str">
        <f t="shared" si="9"/>
        <v/>
      </c>
      <c r="Q97" s="11"/>
      <c r="R97" s="19"/>
      <c r="S97" s="19"/>
      <c r="U97">
        <f ca="1">IF(AND(ISNUMBER(O97),O97&lt;=設定!$C$4),1,0)</f>
        <v>0</v>
      </c>
      <c r="V97" t="str">
        <f ca="1">IF(U97=1,SUM($U$10:U97),"")</f>
        <v/>
      </c>
    </row>
    <row r="98" spans="2:22">
      <c r="B98" s="8" t="str">
        <f>IF(C98="","",COUNT($C$10:C98))</f>
        <v/>
      </c>
      <c r="C98" s="20"/>
      <c r="D98" s="11"/>
      <c r="E98" s="9"/>
      <c r="F98" s="21" t="str">
        <f>IF(E98="","",IFERROR(INDEX(食材マスタ!$D$10:$D$309,MATCH(E98,食材マスタ!$C$10:$C$309,0)),"※コード未登録"))</f>
        <v/>
      </c>
      <c r="G98" s="16"/>
      <c r="H98" s="8" t="str">
        <f>IF(E98="","",IFERROR(INDEX(食材マスタ!$H$10:$H$309,MATCH(E98,食材マスタ!$C$10:$C$309,0)),""))</f>
        <v/>
      </c>
      <c r="I98" s="15" t="str">
        <f>IF(E98="","",IFERROR(INDEX(食材マスタ!$K$10:$K$309,MATCH(E98,食材マスタ!$C$10:$C$309,0)),""))</f>
        <v/>
      </c>
      <c r="J98" s="15" t="str">
        <f t="shared" si="5"/>
        <v/>
      </c>
      <c r="K98" s="20"/>
      <c r="L98" s="8" t="str">
        <f t="shared" si="6"/>
        <v/>
      </c>
      <c r="M98" s="9"/>
      <c r="N98" s="13" t="str">
        <f t="shared" si="7"/>
        <v/>
      </c>
      <c r="O98" s="22" t="str">
        <f t="shared" ca="1" si="8"/>
        <v/>
      </c>
      <c r="P98" s="17" t="str">
        <f t="shared" si="9"/>
        <v/>
      </c>
      <c r="Q98" s="11"/>
      <c r="R98" s="19"/>
      <c r="S98" s="19"/>
      <c r="U98">
        <f ca="1">IF(AND(ISNUMBER(O98),O98&lt;=設定!$C$4),1,0)</f>
        <v>0</v>
      </c>
      <c r="V98" t="str">
        <f ca="1">IF(U98=1,SUM($U$10:U98),"")</f>
        <v/>
      </c>
    </row>
    <row r="99" spans="2:22">
      <c r="B99" s="8" t="str">
        <f>IF(C99="","",COUNT($C$10:C99))</f>
        <v/>
      </c>
      <c r="C99" s="20"/>
      <c r="D99" s="11"/>
      <c r="E99" s="9"/>
      <c r="F99" s="21" t="str">
        <f>IF(E99="","",IFERROR(INDEX(食材マスタ!$D$10:$D$309,MATCH(E99,食材マスタ!$C$10:$C$309,0)),"※コード未登録"))</f>
        <v/>
      </c>
      <c r="G99" s="16"/>
      <c r="H99" s="8" t="str">
        <f>IF(E99="","",IFERROR(INDEX(食材マスタ!$H$10:$H$309,MATCH(E99,食材マスタ!$C$10:$C$309,0)),""))</f>
        <v/>
      </c>
      <c r="I99" s="15" t="str">
        <f>IF(E99="","",IFERROR(INDEX(食材マスタ!$K$10:$K$309,MATCH(E99,食材マスタ!$C$10:$C$309,0)),""))</f>
        <v/>
      </c>
      <c r="J99" s="15" t="str">
        <f t="shared" si="5"/>
        <v/>
      </c>
      <c r="K99" s="20"/>
      <c r="L99" s="8" t="str">
        <f t="shared" si="6"/>
        <v/>
      </c>
      <c r="M99" s="9"/>
      <c r="N99" s="13" t="str">
        <f t="shared" si="7"/>
        <v/>
      </c>
      <c r="O99" s="22" t="str">
        <f t="shared" ca="1" si="8"/>
        <v/>
      </c>
      <c r="P99" s="17" t="str">
        <f t="shared" si="9"/>
        <v/>
      </c>
      <c r="Q99" s="11"/>
      <c r="R99" s="19"/>
      <c r="S99" s="19"/>
      <c r="U99">
        <f ca="1">IF(AND(ISNUMBER(O99),O99&lt;=設定!$C$4),1,0)</f>
        <v>0</v>
      </c>
      <c r="V99" t="str">
        <f ca="1">IF(U99=1,SUM($U$10:U99),"")</f>
        <v/>
      </c>
    </row>
    <row r="100" spans="2:22">
      <c r="B100" s="8" t="str">
        <f>IF(C100="","",COUNT($C$10:C100))</f>
        <v/>
      </c>
      <c r="C100" s="20"/>
      <c r="D100" s="11"/>
      <c r="E100" s="9"/>
      <c r="F100" s="21" t="str">
        <f>IF(E100="","",IFERROR(INDEX(食材マスタ!$D$10:$D$309,MATCH(E100,食材マスタ!$C$10:$C$309,0)),"※コード未登録"))</f>
        <v/>
      </c>
      <c r="G100" s="16"/>
      <c r="H100" s="8" t="str">
        <f>IF(E100="","",IFERROR(INDEX(食材マスタ!$H$10:$H$309,MATCH(E100,食材マスタ!$C$10:$C$309,0)),""))</f>
        <v/>
      </c>
      <c r="I100" s="15" t="str">
        <f>IF(E100="","",IFERROR(INDEX(食材マスタ!$K$10:$K$309,MATCH(E100,食材マスタ!$C$10:$C$309,0)),""))</f>
        <v/>
      </c>
      <c r="J100" s="15" t="str">
        <f t="shared" si="5"/>
        <v/>
      </c>
      <c r="K100" s="20"/>
      <c r="L100" s="8" t="str">
        <f t="shared" si="6"/>
        <v/>
      </c>
      <c r="M100" s="9"/>
      <c r="N100" s="13" t="str">
        <f t="shared" si="7"/>
        <v/>
      </c>
      <c r="O100" s="22" t="str">
        <f t="shared" ca="1" si="8"/>
        <v/>
      </c>
      <c r="P100" s="17" t="str">
        <f t="shared" si="9"/>
        <v/>
      </c>
      <c r="Q100" s="11"/>
      <c r="R100" s="19"/>
      <c r="S100" s="19"/>
      <c r="U100">
        <f ca="1">IF(AND(ISNUMBER(O100),O100&lt;=設定!$C$4),1,0)</f>
        <v>0</v>
      </c>
      <c r="V100" t="str">
        <f ca="1">IF(U100=1,SUM($U$10:U100),"")</f>
        <v/>
      </c>
    </row>
    <row r="101" spans="2:22">
      <c r="B101" s="8" t="str">
        <f>IF(C101="","",COUNT($C$10:C101))</f>
        <v/>
      </c>
      <c r="C101" s="20"/>
      <c r="D101" s="11"/>
      <c r="E101" s="9"/>
      <c r="F101" s="21" t="str">
        <f>IF(E101="","",IFERROR(INDEX(食材マスタ!$D$10:$D$309,MATCH(E101,食材マスタ!$C$10:$C$309,0)),"※コード未登録"))</f>
        <v/>
      </c>
      <c r="G101" s="16"/>
      <c r="H101" s="8" t="str">
        <f>IF(E101="","",IFERROR(INDEX(食材マスタ!$H$10:$H$309,MATCH(E101,食材マスタ!$C$10:$C$309,0)),""))</f>
        <v/>
      </c>
      <c r="I101" s="15" t="str">
        <f>IF(E101="","",IFERROR(INDEX(食材マスタ!$K$10:$K$309,MATCH(E101,食材マスタ!$C$10:$C$309,0)),""))</f>
        <v/>
      </c>
      <c r="J101" s="15" t="str">
        <f t="shared" si="5"/>
        <v/>
      </c>
      <c r="K101" s="20"/>
      <c r="L101" s="8" t="str">
        <f t="shared" si="6"/>
        <v/>
      </c>
      <c r="M101" s="9"/>
      <c r="N101" s="13" t="str">
        <f t="shared" si="7"/>
        <v/>
      </c>
      <c r="O101" s="22" t="str">
        <f t="shared" ca="1" si="8"/>
        <v/>
      </c>
      <c r="P101" s="17" t="str">
        <f t="shared" si="9"/>
        <v/>
      </c>
      <c r="Q101" s="11"/>
      <c r="R101" s="19"/>
      <c r="S101" s="19"/>
      <c r="U101">
        <f ca="1">IF(AND(ISNUMBER(O101),O101&lt;=設定!$C$4),1,0)</f>
        <v>0</v>
      </c>
      <c r="V101" t="str">
        <f ca="1">IF(U101=1,SUM($U$10:U101),"")</f>
        <v/>
      </c>
    </row>
    <row r="102" spans="2:22">
      <c r="B102" s="8" t="str">
        <f>IF(C102="","",COUNT($C$10:C102))</f>
        <v/>
      </c>
      <c r="C102" s="20"/>
      <c r="D102" s="11"/>
      <c r="E102" s="9"/>
      <c r="F102" s="21" t="str">
        <f>IF(E102="","",IFERROR(INDEX(食材マスタ!$D$10:$D$309,MATCH(E102,食材マスタ!$C$10:$C$309,0)),"※コード未登録"))</f>
        <v/>
      </c>
      <c r="G102" s="16"/>
      <c r="H102" s="8" t="str">
        <f>IF(E102="","",IFERROR(INDEX(食材マスタ!$H$10:$H$309,MATCH(E102,食材マスタ!$C$10:$C$309,0)),""))</f>
        <v/>
      </c>
      <c r="I102" s="15" t="str">
        <f>IF(E102="","",IFERROR(INDEX(食材マスタ!$K$10:$K$309,MATCH(E102,食材マスタ!$C$10:$C$309,0)),""))</f>
        <v/>
      </c>
      <c r="J102" s="15" t="str">
        <f t="shared" si="5"/>
        <v/>
      </c>
      <c r="K102" s="20"/>
      <c r="L102" s="8" t="str">
        <f t="shared" si="6"/>
        <v/>
      </c>
      <c r="M102" s="9"/>
      <c r="N102" s="13" t="str">
        <f t="shared" si="7"/>
        <v/>
      </c>
      <c r="O102" s="22" t="str">
        <f t="shared" ca="1" si="8"/>
        <v/>
      </c>
      <c r="P102" s="17" t="str">
        <f t="shared" si="9"/>
        <v/>
      </c>
      <c r="Q102" s="11"/>
      <c r="R102" s="19"/>
      <c r="S102" s="19"/>
      <c r="U102">
        <f ca="1">IF(AND(ISNUMBER(O102),O102&lt;=設定!$C$4),1,0)</f>
        <v>0</v>
      </c>
      <c r="V102" t="str">
        <f ca="1">IF(U102=1,SUM($U$10:U102),"")</f>
        <v/>
      </c>
    </row>
    <row r="103" spans="2:22">
      <c r="B103" s="8" t="str">
        <f>IF(C103="","",COUNT($C$10:C103))</f>
        <v/>
      </c>
      <c r="C103" s="20"/>
      <c r="D103" s="11"/>
      <c r="E103" s="9"/>
      <c r="F103" s="21" t="str">
        <f>IF(E103="","",IFERROR(INDEX(食材マスタ!$D$10:$D$309,MATCH(E103,食材マスタ!$C$10:$C$309,0)),"※コード未登録"))</f>
        <v/>
      </c>
      <c r="G103" s="16"/>
      <c r="H103" s="8" t="str">
        <f>IF(E103="","",IFERROR(INDEX(食材マスタ!$H$10:$H$309,MATCH(E103,食材マスタ!$C$10:$C$309,0)),""))</f>
        <v/>
      </c>
      <c r="I103" s="15" t="str">
        <f>IF(E103="","",IFERROR(INDEX(食材マスタ!$K$10:$K$309,MATCH(E103,食材マスタ!$C$10:$C$309,0)),""))</f>
        <v/>
      </c>
      <c r="J103" s="15" t="str">
        <f t="shared" si="5"/>
        <v/>
      </c>
      <c r="K103" s="20"/>
      <c r="L103" s="8" t="str">
        <f t="shared" si="6"/>
        <v/>
      </c>
      <c r="M103" s="9"/>
      <c r="N103" s="13" t="str">
        <f t="shared" si="7"/>
        <v/>
      </c>
      <c r="O103" s="22" t="str">
        <f t="shared" ca="1" si="8"/>
        <v/>
      </c>
      <c r="P103" s="17" t="str">
        <f t="shared" si="9"/>
        <v/>
      </c>
      <c r="Q103" s="11"/>
      <c r="R103" s="19"/>
      <c r="S103" s="19"/>
      <c r="U103">
        <f ca="1">IF(AND(ISNUMBER(O103),O103&lt;=設定!$C$4),1,0)</f>
        <v>0</v>
      </c>
      <c r="V103" t="str">
        <f ca="1">IF(U103=1,SUM($U$10:U103),"")</f>
        <v/>
      </c>
    </row>
    <row r="104" spans="2:22">
      <c r="B104" s="8" t="str">
        <f>IF(C104="","",COUNT($C$10:C104))</f>
        <v/>
      </c>
      <c r="C104" s="20"/>
      <c r="D104" s="11"/>
      <c r="E104" s="9"/>
      <c r="F104" s="21" t="str">
        <f>IF(E104="","",IFERROR(INDEX(食材マスタ!$D$10:$D$309,MATCH(E104,食材マスタ!$C$10:$C$309,0)),"※コード未登録"))</f>
        <v/>
      </c>
      <c r="G104" s="16"/>
      <c r="H104" s="8" t="str">
        <f>IF(E104="","",IFERROR(INDEX(食材マスタ!$H$10:$H$309,MATCH(E104,食材マスタ!$C$10:$C$309,0)),""))</f>
        <v/>
      </c>
      <c r="I104" s="15" t="str">
        <f>IF(E104="","",IFERROR(INDEX(食材マスタ!$K$10:$K$309,MATCH(E104,食材マスタ!$C$10:$C$309,0)),""))</f>
        <v/>
      </c>
      <c r="J104" s="15" t="str">
        <f t="shared" si="5"/>
        <v/>
      </c>
      <c r="K104" s="20"/>
      <c r="L104" s="8" t="str">
        <f t="shared" si="6"/>
        <v/>
      </c>
      <c r="M104" s="9"/>
      <c r="N104" s="13" t="str">
        <f t="shared" si="7"/>
        <v/>
      </c>
      <c r="O104" s="22" t="str">
        <f t="shared" ca="1" si="8"/>
        <v/>
      </c>
      <c r="P104" s="17" t="str">
        <f t="shared" si="9"/>
        <v/>
      </c>
      <c r="Q104" s="11"/>
      <c r="R104" s="19"/>
      <c r="S104" s="19"/>
      <c r="U104">
        <f ca="1">IF(AND(ISNUMBER(O104),O104&lt;=設定!$C$4),1,0)</f>
        <v>0</v>
      </c>
      <c r="V104" t="str">
        <f ca="1">IF(U104=1,SUM($U$10:U104),"")</f>
        <v/>
      </c>
    </row>
    <row r="105" spans="2:22">
      <c r="B105" s="8" t="str">
        <f>IF(C105="","",COUNT($C$10:C105))</f>
        <v/>
      </c>
      <c r="C105" s="20"/>
      <c r="D105" s="11"/>
      <c r="E105" s="9"/>
      <c r="F105" s="21" t="str">
        <f>IF(E105="","",IFERROR(INDEX(食材マスタ!$D$10:$D$309,MATCH(E105,食材マスタ!$C$10:$C$309,0)),"※コード未登録"))</f>
        <v/>
      </c>
      <c r="G105" s="16"/>
      <c r="H105" s="8" t="str">
        <f>IF(E105="","",IFERROR(INDEX(食材マスタ!$H$10:$H$309,MATCH(E105,食材マスタ!$C$10:$C$309,0)),""))</f>
        <v/>
      </c>
      <c r="I105" s="15" t="str">
        <f>IF(E105="","",IFERROR(INDEX(食材マスタ!$K$10:$K$309,MATCH(E105,食材マスタ!$C$10:$C$309,0)),""))</f>
        <v/>
      </c>
      <c r="J105" s="15" t="str">
        <f t="shared" si="5"/>
        <v/>
      </c>
      <c r="K105" s="20"/>
      <c r="L105" s="8" t="str">
        <f t="shared" si="6"/>
        <v/>
      </c>
      <c r="M105" s="9"/>
      <c r="N105" s="13" t="str">
        <f t="shared" si="7"/>
        <v/>
      </c>
      <c r="O105" s="22" t="str">
        <f t="shared" ca="1" si="8"/>
        <v/>
      </c>
      <c r="P105" s="17" t="str">
        <f t="shared" si="9"/>
        <v/>
      </c>
      <c r="Q105" s="11"/>
      <c r="R105" s="19"/>
      <c r="S105" s="19"/>
      <c r="U105">
        <f ca="1">IF(AND(ISNUMBER(O105),O105&lt;=設定!$C$4),1,0)</f>
        <v>0</v>
      </c>
      <c r="V105" t="str">
        <f ca="1">IF(U105=1,SUM($U$10:U105),"")</f>
        <v/>
      </c>
    </row>
    <row r="106" spans="2:22">
      <c r="B106" s="8" t="str">
        <f>IF(C106="","",COUNT($C$10:C106))</f>
        <v/>
      </c>
      <c r="C106" s="20"/>
      <c r="D106" s="11"/>
      <c r="E106" s="9"/>
      <c r="F106" s="21" t="str">
        <f>IF(E106="","",IFERROR(INDEX(食材マスタ!$D$10:$D$309,MATCH(E106,食材マスタ!$C$10:$C$309,0)),"※コード未登録"))</f>
        <v/>
      </c>
      <c r="G106" s="16"/>
      <c r="H106" s="8" t="str">
        <f>IF(E106="","",IFERROR(INDEX(食材マスタ!$H$10:$H$309,MATCH(E106,食材マスタ!$C$10:$C$309,0)),""))</f>
        <v/>
      </c>
      <c r="I106" s="15" t="str">
        <f>IF(E106="","",IFERROR(INDEX(食材マスタ!$K$10:$K$309,MATCH(E106,食材マスタ!$C$10:$C$309,0)),""))</f>
        <v/>
      </c>
      <c r="J106" s="15" t="str">
        <f t="shared" si="5"/>
        <v/>
      </c>
      <c r="K106" s="20"/>
      <c r="L106" s="8" t="str">
        <f t="shared" si="6"/>
        <v/>
      </c>
      <c r="M106" s="9"/>
      <c r="N106" s="13" t="str">
        <f t="shared" si="7"/>
        <v/>
      </c>
      <c r="O106" s="22" t="str">
        <f t="shared" ca="1" si="8"/>
        <v/>
      </c>
      <c r="P106" s="17" t="str">
        <f t="shared" si="9"/>
        <v/>
      </c>
      <c r="Q106" s="11"/>
      <c r="R106" s="19"/>
      <c r="S106" s="19"/>
      <c r="U106">
        <f ca="1">IF(AND(ISNUMBER(O106),O106&lt;=設定!$C$4),1,0)</f>
        <v>0</v>
      </c>
      <c r="V106" t="str">
        <f ca="1">IF(U106=1,SUM($U$10:U106),"")</f>
        <v/>
      </c>
    </row>
    <row r="107" spans="2:22">
      <c r="B107" s="8" t="str">
        <f>IF(C107="","",COUNT($C$10:C107))</f>
        <v/>
      </c>
      <c r="C107" s="20"/>
      <c r="D107" s="11"/>
      <c r="E107" s="9"/>
      <c r="F107" s="21" t="str">
        <f>IF(E107="","",IFERROR(INDEX(食材マスタ!$D$10:$D$309,MATCH(E107,食材マスタ!$C$10:$C$309,0)),"※コード未登録"))</f>
        <v/>
      </c>
      <c r="G107" s="16"/>
      <c r="H107" s="8" t="str">
        <f>IF(E107="","",IFERROR(INDEX(食材マスタ!$H$10:$H$309,MATCH(E107,食材マスタ!$C$10:$C$309,0)),""))</f>
        <v/>
      </c>
      <c r="I107" s="15" t="str">
        <f>IF(E107="","",IFERROR(INDEX(食材マスタ!$K$10:$K$309,MATCH(E107,食材マスタ!$C$10:$C$309,0)),""))</f>
        <v/>
      </c>
      <c r="J107" s="15" t="str">
        <f t="shared" si="5"/>
        <v/>
      </c>
      <c r="K107" s="20"/>
      <c r="L107" s="8" t="str">
        <f t="shared" si="6"/>
        <v/>
      </c>
      <c r="M107" s="9"/>
      <c r="N107" s="13" t="str">
        <f t="shared" si="7"/>
        <v/>
      </c>
      <c r="O107" s="22" t="str">
        <f t="shared" ca="1" si="8"/>
        <v/>
      </c>
      <c r="P107" s="17" t="str">
        <f t="shared" si="9"/>
        <v/>
      </c>
      <c r="Q107" s="11"/>
      <c r="R107" s="19"/>
      <c r="S107" s="19"/>
      <c r="U107">
        <f ca="1">IF(AND(ISNUMBER(O107),O107&lt;=設定!$C$4),1,0)</f>
        <v>0</v>
      </c>
      <c r="V107" t="str">
        <f ca="1">IF(U107=1,SUM($U$10:U107),"")</f>
        <v/>
      </c>
    </row>
    <row r="108" spans="2:22">
      <c r="B108" s="8" t="str">
        <f>IF(C108="","",COUNT($C$10:C108))</f>
        <v/>
      </c>
      <c r="C108" s="20"/>
      <c r="D108" s="11"/>
      <c r="E108" s="9"/>
      <c r="F108" s="21" t="str">
        <f>IF(E108="","",IFERROR(INDEX(食材マスタ!$D$10:$D$309,MATCH(E108,食材マスタ!$C$10:$C$309,0)),"※コード未登録"))</f>
        <v/>
      </c>
      <c r="G108" s="16"/>
      <c r="H108" s="8" t="str">
        <f>IF(E108="","",IFERROR(INDEX(食材マスタ!$H$10:$H$309,MATCH(E108,食材マスタ!$C$10:$C$309,0)),""))</f>
        <v/>
      </c>
      <c r="I108" s="15" t="str">
        <f>IF(E108="","",IFERROR(INDEX(食材マスタ!$K$10:$K$309,MATCH(E108,食材マスタ!$C$10:$C$309,0)),""))</f>
        <v/>
      </c>
      <c r="J108" s="15" t="str">
        <f t="shared" si="5"/>
        <v/>
      </c>
      <c r="K108" s="20"/>
      <c r="L108" s="8" t="str">
        <f t="shared" si="6"/>
        <v/>
      </c>
      <c r="M108" s="9"/>
      <c r="N108" s="13" t="str">
        <f t="shared" si="7"/>
        <v/>
      </c>
      <c r="O108" s="22" t="str">
        <f t="shared" ca="1" si="8"/>
        <v/>
      </c>
      <c r="P108" s="17" t="str">
        <f t="shared" si="9"/>
        <v/>
      </c>
      <c r="Q108" s="11"/>
      <c r="R108" s="19"/>
      <c r="S108" s="19"/>
      <c r="U108">
        <f ca="1">IF(AND(ISNUMBER(O108),O108&lt;=設定!$C$4),1,0)</f>
        <v>0</v>
      </c>
      <c r="V108" t="str">
        <f ca="1">IF(U108=1,SUM($U$10:U108),"")</f>
        <v/>
      </c>
    </row>
    <row r="109" spans="2:22">
      <c r="B109" s="8" t="str">
        <f>IF(C109="","",COUNT($C$10:C109))</f>
        <v/>
      </c>
      <c r="C109" s="20"/>
      <c r="D109" s="11"/>
      <c r="E109" s="9"/>
      <c r="F109" s="21" t="str">
        <f>IF(E109="","",IFERROR(INDEX(食材マスタ!$D$10:$D$309,MATCH(E109,食材マスタ!$C$10:$C$309,0)),"※コード未登録"))</f>
        <v/>
      </c>
      <c r="G109" s="16"/>
      <c r="H109" s="8" t="str">
        <f>IF(E109="","",IFERROR(INDEX(食材マスタ!$H$10:$H$309,MATCH(E109,食材マスタ!$C$10:$C$309,0)),""))</f>
        <v/>
      </c>
      <c r="I109" s="15" t="str">
        <f>IF(E109="","",IFERROR(INDEX(食材マスタ!$K$10:$K$309,MATCH(E109,食材マスタ!$C$10:$C$309,0)),""))</f>
        <v/>
      </c>
      <c r="J109" s="15" t="str">
        <f t="shared" si="5"/>
        <v/>
      </c>
      <c r="K109" s="20"/>
      <c r="L109" s="8" t="str">
        <f t="shared" si="6"/>
        <v/>
      </c>
      <c r="M109" s="9"/>
      <c r="N109" s="13" t="str">
        <f t="shared" si="7"/>
        <v/>
      </c>
      <c r="O109" s="22" t="str">
        <f t="shared" ca="1" si="8"/>
        <v/>
      </c>
      <c r="P109" s="17" t="str">
        <f t="shared" si="9"/>
        <v/>
      </c>
      <c r="Q109" s="11"/>
      <c r="R109" s="19"/>
      <c r="S109" s="19"/>
      <c r="U109">
        <f ca="1">IF(AND(ISNUMBER(O109),O109&lt;=設定!$C$4),1,0)</f>
        <v>0</v>
      </c>
      <c r="V109" t="str">
        <f ca="1">IF(U109=1,SUM($U$10:U109),"")</f>
        <v/>
      </c>
    </row>
    <row r="110" spans="2:22">
      <c r="B110" s="8" t="str">
        <f>IF(C110="","",COUNT($C$10:C110))</f>
        <v/>
      </c>
      <c r="C110" s="20"/>
      <c r="D110" s="11"/>
      <c r="E110" s="9"/>
      <c r="F110" s="21" t="str">
        <f>IF(E110="","",IFERROR(INDEX(食材マスタ!$D$10:$D$309,MATCH(E110,食材マスタ!$C$10:$C$309,0)),"※コード未登録"))</f>
        <v/>
      </c>
      <c r="G110" s="16"/>
      <c r="H110" s="8" t="str">
        <f>IF(E110="","",IFERROR(INDEX(食材マスタ!$H$10:$H$309,MATCH(E110,食材マスタ!$C$10:$C$309,0)),""))</f>
        <v/>
      </c>
      <c r="I110" s="15" t="str">
        <f>IF(E110="","",IFERROR(INDEX(食材マスタ!$K$10:$K$309,MATCH(E110,食材マスタ!$C$10:$C$309,0)),""))</f>
        <v/>
      </c>
      <c r="J110" s="15" t="str">
        <f t="shared" si="5"/>
        <v/>
      </c>
      <c r="K110" s="20"/>
      <c r="L110" s="8" t="str">
        <f t="shared" si="6"/>
        <v/>
      </c>
      <c r="M110" s="9"/>
      <c r="N110" s="13" t="str">
        <f t="shared" si="7"/>
        <v/>
      </c>
      <c r="O110" s="22" t="str">
        <f t="shared" ca="1" si="8"/>
        <v/>
      </c>
      <c r="P110" s="17" t="str">
        <f t="shared" si="9"/>
        <v/>
      </c>
      <c r="Q110" s="11"/>
      <c r="R110" s="19"/>
      <c r="S110" s="19"/>
      <c r="U110">
        <f ca="1">IF(AND(ISNUMBER(O110),O110&lt;=設定!$C$4),1,0)</f>
        <v>0</v>
      </c>
      <c r="V110" t="str">
        <f ca="1">IF(U110=1,SUM($U$10:U110),"")</f>
        <v/>
      </c>
    </row>
    <row r="111" spans="2:22">
      <c r="B111" s="8" t="str">
        <f>IF(C111="","",COUNT($C$10:C111))</f>
        <v/>
      </c>
      <c r="C111" s="20"/>
      <c r="D111" s="11"/>
      <c r="E111" s="9"/>
      <c r="F111" s="21" t="str">
        <f>IF(E111="","",IFERROR(INDEX(食材マスタ!$D$10:$D$309,MATCH(E111,食材マスタ!$C$10:$C$309,0)),"※コード未登録"))</f>
        <v/>
      </c>
      <c r="G111" s="16"/>
      <c r="H111" s="8" t="str">
        <f>IF(E111="","",IFERROR(INDEX(食材マスタ!$H$10:$H$309,MATCH(E111,食材マスタ!$C$10:$C$309,0)),""))</f>
        <v/>
      </c>
      <c r="I111" s="15" t="str">
        <f>IF(E111="","",IFERROR(INDEX(食材マスタ!$K$10:$K$309,MATCH(E111,食材マスタ!$C$10:$C$309,0)),""))</f>
        <v/>
      </c>
      <c r="J111" s="15" t="str">
        <f t="shared" si="5"/>
        <v/>
      </c>
      <c r="K111" s="20"/>
      <c r="L111" s="8" t="str">
        <f t="shared" si="6"/>
        <v/>
      </c>
      <c r="M111" s="9"/>
      <c r="N111" s="13" t="str">
        <f t="shared" si="7"/>
        <v/>
      </c>
      <c r="O111" s="22" t="str">
        <f t="shared" ca="1" si="8"/>
        <v/>
      </c>
      <c r="P111" s="17" t="str">
        <f t="shared" si="9"/>
        <v/>
      </c>
      <c r="Q111" s="11"/>
      <c r="R111" s="19"/>
      <c r="S111" s="19"/>
      <c r="U111">
        <f ca="1">IF(AND(ISNUMBER(O111),O111&lt;=設定!$C$4),1,0)</f>
        <v>0</v>
      </c>
      <c r="V111" t="str">
        <f ca="1">IF(U111=1,SUM($U$10:U111),"")</f>
        <v/>
      </c>
    </row>
    <row r="112" spans="2:22">
      <c r="B112" s="8" t="str">
        <f>IF(C112="","",COUNT($C$10:C112))</f>
        <v/>
      </c>
      <c r="C112" s="20"/>
      <c r="D112" s="11"/>
      <c r="E112" s="9"/>
      <c r="F112" s="21" t="str">
        <f>IF(E112="","",IFERROR(INDEX(食材マスタ!$D$10:$D$309,MATCH(E112,食材マスタ!$C$10:$C$309,0)),"※コード未登録"))</f>
        <v/>
      </c>
      <c r="G112" s="16"/>
      <c r="H112" s="8" t="str">
        <f>IF(E112="","",IFERROR(INDEX(食材マスタ!$H$10:$H$309,MATCH(E112,食材マスタ!$C$10:$C$309,0)),""))</f>
        <v/>
      </c>
      <c r="I112" s="15" t="str">
        <f>IF(E112="","",IFERROR(INDEX(食材マスタ!$K$10:$K$309,MATCH(E112,食材マスタ!$C$10:$C$309,0)),""))</f>
        <v/>
      </c>
      <c r="J112" s="15" t="str">
        <f t="shared" si="5"/>
        <v/>
      </c>
      <c r="K112" s="20"/>
      <c r="L112" s="8" t="str">
        <f t="shared" si="6"/>
        <v/>
      </c>
      <c r="M112" s="9"/>
      <c r="N112" s="13" t="str">
        <f t="shared" si="7"/>
        <v/>
      </c>
      <c r="O112" s="22" t="str">
        <f t="shared" ca="1" si="8"/>
        <v/>
      </c>
      <c r="P112" s="17" t="str">
        <f t="shared" si="9"/>
        <v/>
      </c>
      <c r="Q112" s="11"/>
      <c r="R112" s="19"/>
      <c r="S112" s="19"/>
      <c r="U112">
        <f ca="1">IF(AND(ISNUMBER(O112),O112&lt;=設定!$C$4),1,0)</f>
        <v>0</v>
      </c>
      <c r="V112" t="str">
        <f ca="1">IF(U112=1,SUM($U$10:U112),"")</f>
        <v/>
      </c>
    </row>
    <row r="113" spans="2:22">
      <c r="B113" s="8" t="str">
        <f>IF(C113="","",COUNT($C$10:C113))</f>
        <v/>
      </c>
      <c r="C113" s="20"/>
      <c r="D113" s="11"/>
      <c r="E113" s="9"/>
      <c r="F113" s="21" t="str">
        <f>IF(E113="","",IFERROR(INDEX(食材マスタ!$D$10:$D$309,MATCH(E113,食材マスタ!$C$10:$C$309,0)),"※コード未登録"))</f>
        <v/>
      </c>
      <c r="G113" s="16"/>
      <c r="H113" s="8" t="str">
        <f>IF(E113="","",IFERROR(INDEX(食材マスタ!$H$10:$H$309,MATCH(E113,食材マスタ!$C$10:$C$309,0)),""))</f>
        <v/>
      </c>
      <c r="I113" s="15" t="str">
        <f>IF(E113="","",IFERROR(INDEX(食材マスタ!$K$10:$K$309,MATCH(E113,食材マスタ!$C$10:$C$309,0)),""))</f>
        <v/>
      </c>
      <c r="J113" s="15" t="str">
        <f t="shared" si="5"/>
        <v/>
      </c>
      <c r="K113" s="20"/>
      <c r="L113" s="8" t="str">
        <f t="shared" si="6"/>
        <v/>
      </c>
      <c r="M113" s="9"/>
      <c r="N113" s="13" t="str">
        <f t="shared" si="7"/>
        <v/>
      </c>
      <c r="O113" s="22" t="str">
        <f t="shared" ca="1" si="8"/>
        <v/>
      </c>
      <c r="P113" s="17" t="str">
        <f t="shared" si="9"/>
        <v/>
      </c>
      <c r="Q113" s="11"/>
      <c r="R113" s="19"/>
      <c r="S113" s="19"/>
      <c r="U113">
        <f ca="1">IF(AND(ISNUMBER(O113),O113&lt;=設定!$C$4),1,0)</f>
        <v>0</v>
      </c>
      <c r="V113" t="str">
        <f ca="1">IF(U113=1,SUM($U$10:U113),"")</f>
        <v/>
      </c>
    </row>
    <row r="114" spans="2:22">
      <c r="B114" s="8" t="str">
        <f>IF(C114="","",COUNT($C$10:C114))</f>
        <v/>
      </c>
      <c r="C114" s="20"/>
      <c r="D114" s="11"/>
      <c r="E114" s="9"/>
      <c r="F114" s="21" t="str">
        <f>IF(E114="","",IFERROR(INDEX(食材マスタ!$D$10:$D$309,MATCH(E114,食材マスタ!$C$10:$C$309,0)),"※コード未登録"))</f>
        <v/>
      </c>
      <c r="G114" s="16"/>
      <c r="H114" s="8" t="str">
        <f>IF(E114="","",IFERROR(INDEX(食材マスタ!$H$10:$H$309,MATCH(E114,食材マスタ!$C$10:$C$309,0)),""))</f>
        <v/>
      </c>
      <c r="I114" s="15" t="str">
        <f>IF(E114="","",IFERROR(INDEX(食材マスタ!$K$10:$K$309,MATCH(E114,食材マスタ!$C$10:$C$309,0)),""))</f>
        <v/>
      </c>
      <c r="J114" s="15" t="str">
        <f t="shared" si="5"/>
        <v/>
      </c>
      <c r="K114" s="20"/>
      <c r="L114" s="8" t="str">
        <f t="shared" si="6"/>
        <v/>
      </c>
      <c r="M114" s="9"/>
      <c r="N114" s="13" t="str">
        <f t="shared" si="7"/>
        <v/>
      </c>
      <c r="O114" s="22" t="str">
        <f t="shared" ca="1" si="8"/>
        <v/>
      </c>
      <c r="P114" s="17" t="str">
        <f t="shared" si="9"/>
        <v/>
      </c>
      <c r="Q114" s="11"/>
      <c r="R114" s="19"/>
      <c r="S114" s="19"/>
      <c r="U114">
        <f ca="1">IF(AND(ISNUMBER(O114),O114&lt;=設定!$C$4),1,0)</f>
        <v>0</v>
      </c>
      <c r="V114" t="str">
        <f ca="1">IF(U114=1,SUM($U$10:U114),"")</f>
        <v/>
      </c>
    </row>
    <row r="115" spans="2:22">
      <c r="B115" s="8" t="str">
        <f>IF(C115="","",COUNT($C$10:C115))</f>
        <v/>
      </c>
      <c r="C115" s="20"/>
      <c r="D115" s="11"/>
      <c r="E115" s="9"/>
      <c r="F115" s="21" t="str">
        <f>IF(E115="","",IFERROR(INDEX(食材マスタ!$D$10:$D$309,MATCH(E115,食材マスタ!$C$10:$C$309,0)),"※コード未登録"))</f>
        <v/>
      </c>
      <c r="G115" s="16"/>
      <c r="H115" s="8" t="str">
        <f>IF(E115="","",IFERROR(INDEX(食材マスタ!$H$10:$H$309,MATCH(E115,食材マスタ!$C$10:$C$309,0)),""))</f>
        <v/>
      </c>
      <c r="I115" s="15" t="str">
        <f>IF(E115="","",IFERROR(INDEX(食材マスタ!$K$10:$K$309,MATCH(E115,食材マスタ!$C$10:$C$309,0)),""))</f>
        <v/>
      </c>
      <c r="J115" s="15" t="str">
        <f t="shared" si="5"/>
        <v/>
      </c>
      <c r="K115" s="20"/>
      <c r="L115" s="8" t="str">
        <f t="shared" si="6"/>
        <v/>
      </c>
      <c r="M115" s="9"/>
      <c r="N115" s="13" t="str">
        <f t="shared" si="7"/>
        <v/>
      </c>
      <c r="O115" s="22" t="str">
        <f t="shared" ca="1" si="8"/>
        <v/>
      </c>
      <c r="P115" s="17" t="str">
        <f t="shared" si="9"/>
        <v/>
      </c>
      <c r="Q115" s="11"/>
      <c r="R115" s="19"/>
      <c r="S115" s="19"/>
      <c r="U115">
        <f ca="1">IF(AND(ISNUMBER(O115),O115&lt;=設定!$C$4),1,0)</f>
        <v>0</v>
      </c>
      <c r="V115" t="str">
        <f ca="1">IF(U115=1,SUM($U$10:U115),"")</f>
        <v/>
      </c>
    </row>
    <row r="116" spans="2:22">
      <c r="B116" s="8" t="str">
        <f>IF(C116="","",COUNT($C$10:C116))</f>
        <v/>
      </c>
      <c r="C116" s="20"/>
      <c r="D116" s="11"/>
      <c r="E116" s="9"/>
      <c r="F116" s="21" t="str">
        <f>IF(E116="","",IFERROR(INDEX(食材マスタ!$D$10:$D$309,MATCH(E116,食材マスタ!$C$10:$C$309,0)),"※コード未登録"))</f>
        <v/>
      </c>
      <c r="G116" s="16"/>
      <c r="H116" s="8" t="str">
        <f>IF(E116="","",IFERROR(INDEX(食材マスタ!$H$10:$H$309,MATCH(E116,食材マスタ!$C$10:$C$309,0)),""))</f>
        <v/>
      </c>
      <c r="I116" s="15" t="str">
        <f>IF(E116="","",IFERROR(INDEX(食材マスタ!$K$10:$K$309,MATCH(E116,食材マスタ!$C$10:$C$309,0)),""))</f>
        <v/>
      </c>
      <c r="J116" s="15" t="str">
        <f t="shared" si="5"/>
        <v/>
      </c>
      <c r="K116" s="20"/>
      <c r="L116" s="8" t="str">
        <f t="shared" si="6"/>
        <v/>
      </c>
      <c r="M116" s="9"/>
      <c r="N116" s="13" t="str">
        <f t="shared" si="7"/>
        <v/>
      </c>
      <c r="O116" s="22" t="str">
        <f t="shared" ca="1" si="8"/>
        <v/>
      </c>
      <c r="P116" s="17" t="str">
        <f t="shared" si="9"/>
        <v/>
      </c>
      <c r="Q116" s="11"/>
      <c r="R116" s="19"/>
      <c r="S116" s="19"/>
      <c r="U116">
        <f ca="1">IF(AND(ISNUMBER(O116),O116&lt;=設定!$C$4),1,0)</f>
        <v>0</v>
      </c>
      <c r="V116" t="str">
        <f ca="1">IF(U116=1,SUM($U$10:U116),"")</f>
        <v/>
      </c>
    </row>
    <row r="117" spans="2:22">
      <c r="B117" s="8" t="str">
        <f>IF(C117="","",COUNT($C$10:C117))</f>
        <v/>
      </c>
      <c r="C117" s="20"/>
      <c r="D117" s="11"/>
      <c r="E117" s="9"/>
      <c r="F117" s="21" t="str">
        <f>IF(E117="","",IFERROR(INDEX(食材マスタ!$D$10:$D$309,MATCH(E117,食材マスタ!$C$10:$C$309,0)),"※コード未登録"))</f>
        <v/>
      </c>
      <c r="G117" s="16"/>
      <c r="H117" s="8" t="str">
        <f>IF(E117="","",IFERROR(INDEX(食材マスタ!$H$10:$H$309,MATCH(E117,食材マスタ!$C$10:$C$309,0)),""))</f>
        <v/>
      </c>
      <c r="I117" s="15" t="str">
        <f>IF(E117="","",IFERROR(INDEX(食材マスタ!$K$10:$K$309,MATCH(E117,食材マスタ!$C$10:$C$309,0)),""))</f>
        <v/>
      </c>
      <c r="J117" s="15" t="str">
        <f t="shared" si="5"/>
        <v/>
      </c>
      <c r="K117" s="20"/>
      <c r="L117" s="8" t="str">
        <f t="shared" si="6"/>
        <v/>
      </c>
      <c r="M117" s="9"/>
      <c r="N117" s="13" t="str">
        <f t="shared" si="7"/>
        <v/>
      </c>
      <c r="O117" s="22" t="str">
        <f t="shared" ca="1" si="8"/>
        <v/>
      </c>
      <c r="P117" s="17" t="str">
        <f t="shared" si="9"/>
        <v/>
      </c>
      <c r="Q117" s="11"/>
      <c r="R117" s="19"/>
      <c r="S117" s="19"/>
      <c r="U117">
        <f ca="1">IF(AND(ISNUMBER(O117),O117&lt;=設定!$C$4),1,0)</f>
        <v>0</v>
      </c>
      <c r="V117" t="str">
        <f ca="1">IF(U117=1,SUM($U$10:U117),"")</f>
        <v/>
      </c>
    </row>
    <row r="118" spans="2:22">
      <c r="B118" s="8" t="str">
        <f>IF(C118="","",COUNT($C$10:C118))</f>
        <v/>
      </c>
      <c r="C118" s="20"/>
      <c r="D118" s="11"/>
      <c r="E118" s="9"/>
      <c r="F118" s="21" t="str">
        <f>IF(E118="","",IFERROR(INDEX(食材マスタ!$D$10:$D$309,MATCH(E118,食材マスタ!$C$10:$C$309,0)),"※コード未登録"))</f>
        <v/>
      </c>
      <c r="G118" s="16"/>
      <c r="H118" s="8" t="str">
        <f>IF(E118="","",IFERROR(INDEX(食材マスタ!$H$10:$H$309,MATCH(E118,食材マスタ!$C$10:$C$309,0)),""))</f>
        <v/>
      </c>
      <c r="I118" s="15" t="str">
        <f>IF(E118="","",IFERROR(INDEX(食材マスタ!$K$10:$K$309,MATCH(E118,食材マスタ!$C$10:$C$309,0)),""))</f>
        <v/>
      </c>
      <c r="J118" s="15" t="str">
        <f t="shared" si="5"/>
        <v/>
      </c>
      <c r="K118" s="20"/>
      <c r="L118" s="8" t="str">
        <f t="shared" si="6"/>
        <v/>
      </c>
      <c r="M118" s="9"/>
      <c r="N118" s="13" t="str">
        <f t="shared" si="7"/>
        <v/>
      </c>
      <c r="O118" s="22" t="str">
        <f t="shared" ca="1" si="8"/>
        <v/>
      </c>
      <c r="P118" s="17" t="str">
        <f t="shared" si="9"/>
        <v/>
      </c>
      <c r="Q118" s="11"/>
      <c r="R118" s="19"/>
      <c r="S118" s="19"/>
      <c r="U118">
        <f ca="1">IF(AND(ISNUMBER(O118),O118&lt;=設定!$C$4),1,0)</f>
        <v>0</v>
      </c>
      <c r="V118" t="str">
        <f ca="1">IF(U118=1,SUM($U$10:U118),"")</f>
        <v/>
      </c>
    </row>
    <row r="119" spans="2:22">
      <c r="B119" s="8" t="str">
        <f>IF(C119="","",COUNT($C$10:C119))</f>
        <v/>
      </c>
      <c r="C119" s="20"/>
      <c r="D119" s="11"/>
      <c r="E119" s="9"/>
      <c r="F119" s="21" t="str">
        <f>IF(E119="","",IFERROR(INDEX(食材マスタ!$D$10:$D$309,MATCH(E119,食材マスタ!$C$10:$C$309,0)),"※コード未登録"))</f>
        <v/>
      </c>
      <c r="G119" s="16"/>
      <c r="H119" s="8" t="str">
        <f>IF(E119="","",IFERROR(INDEX(食材マスタ!$H$10:$H$309,MATCH(E119,食材マスタ!$C$10:$C$309,0)),""))</f>
        <v/>
      </c>
      <c r="I119" s="15" t="str">
        <f>IF(E119="","",IFERROR(INDEX(食材マスタ!$K$10:$K$309,MATCH(E119,食材マスタ!$C$10:$C$309,0)),""))</f>
        <v/>
      </c>
      <c r="J119" s="15" t="str">
        <f t="shared" si="5"/>
        <v/>
      </c>
      <c r="K119" s="20"/>
      <c r="L119" s="8" t="str">
        <f t="shared" si="6"/>
        <v/>
      </c>
      <c r="M119" s="9"/>
      <c r="N119" s="13" t="str">
        <f t="shared" si="7"/>
        <v/>
      </c>
      <c r="O119" s="22" t="str">
        <f t="shared" ca="1" si="8"/>
        <v/>
      </c>
      <c r="P119" s="17" t="str">
        <f t="shared" si="9"/>
        <v/>
      </c>
      <c r="Q119" s="11"/>
      <c r="R119" s="19"/>
      <c r="S119" s="19"/>
      <c r="U119">
        <f ca="1">IF(AND(ISNUMBER(O119),O119&lt;=設定!$C$4),1,0)</f>
        <v>0</v>
      </c>
      <c r="V119" t="str">
        <f ca="1">IF(U119=1,SUM($U$10:U119),"")</f>
        <v/>
      </c>
    </row>
    <row r="120" spans="2:22">
      <c r="B120" s="8" t="str">
        <f>IF(C120="","",COUNT($C$10:C120))</f>
        <v/>
      </c>
      <c r="C120" s="20"/>
      <c r="D120" s="11"/>
      <c r="E120" s="9"/>
      <c r="F120" s="21" t="str">
        <f>IF(E120="","",IFERROR(INDEX(食材マスタ!$D$10:$D$309,MATCH(E120,食材マスタ!$C$10:$C$309,0)),"※コード未登録"))</f>
        <v/>
      </c>
      <c r="G120" s="16"/>
      <c r="H120" s="8" t="str">
        <f>IF(E120="","",IFERROR(INDEX(食材マスタ!$H$10:$H$309,MATCH(E120,食材マスタ!$C$10:$C$309,0)),""))</f>
        <v/>
      </c>
      <c r="I120" s="15" t="str">
        <f>IF(E120="","",IFERROR(INDEX(食材マスタ!$K$10:$K$309,MATCH(E120,食材マスタ!$C$10:$C$309,0)),""))</f>
        <v/>
      </c>
      <c r="J120" s="15" t="str">
        <f t="shared" si="5"/>
        <v/>
      </c>
      <c r="K120" s="20"/>
      <c r="L120" s="8" t="str">
        <f t="shared" si="6"/>
        <v/>
      </c>
      <c r="M120" s="9"/>
      <c r="N120" s="13" t="str">
        <f t="shared" si="7"/>
        <v/>
      </c>
      <c r="O120" s="22" t="str">
        <f t="shared" ca="1" si="8"/>
        <v/>
      </c>
      <c r="P120" s="17" t="str">
        <f t="shared" si="9"/>
        <v/>
      </c>
      <c r="Q120" s="11"/>
      <c r="R120" s="19"/>
      <c r="S120" s="19"/>
      <c r="U120">
        <f ca="1">IF(AND(ISNUMBER(O120),O120&lt;=設定!$C$4),1,0)</f>
        <v>0</v>
      </c>
      <c r="V120" t="str">
        <f ca="1">IF(U120=1,SUM($U$10:U120),"")</f>
        <v/>
      </c>
    </row>
    <row r="121" spans="2:22">
      <c r="B121" s="8" t="str">
        <f>IF(C121="","",COUNT($C$10:C121))</f>
        <v/>
      </c>
      <c r="C121" s="20"/>
      <c r="D121" s="11"/>
      <c r="E121" s="9"/>
      <c r="F121" s="21" t="str">
        <f>IF(E121="","",IFERROR(INDEX(食材マスタ!$D$10:$D$309,MATCH(E121,食材マスタ!$C$10:$C$309,0)),"※コード未登録"))</f>
        <v/>
      </c>
      <c r="G121" s="16"/>
      <c r="H121" s="8" t="str">
        <f>IF(E121="","",IFERROR(INDEX(食材マスタ!$H$10:$H$309,MATCH(E121,食材マスタ!$C$10:$C$309,0)),""))</f>
        <v/>
      </c>
      <c r="I121" s="15" t="str">
        <f>IF(E121="","",IFERROR(INDEX(食材マスタ!$K$10:$K$309,MATCH(E121,食材マスタ!$C$10:$C$309,0)),""))</f>
        <v/>
      </c>
      <c r="J121" s="15" t="str">
        <f t="shared" si="5"/>
        <v/>
      </c>
      <c r="K121" s="20"/>
      <c r="L121" s="8" t="str">
        <f t="shared" si="6"/>
        <v/>
      </c>
      <c r="M121" s="9"/>
      <c r="N121" s="13" t="str">
        <f t="shared" si="7"/>
        <v/>
      </c>
      <c r="O121" s="22" t="str">
        <f t="shared" ca="1" si="8"/>
        <v/>
      </c>
      <c r="P121" s="17" t="str">
        <f t="shared" si="9"/>
        <v/>
      </c>
      <c r="Q121" s="11"/>
      <c r="R121" s="19"/>
      <c r="S121" s="19"/>
      <c r="U121">
        <f ca="1">IF(AND(ISNUMBER(O121),O121&lt;=設定!$C$4),1,0)</f>
        <v>0</v>
      </c>
      <c r="V121" t="str">
        <f ca="1">IF(U121=1,SUM($U$10:U121),"")</f>
        <v/>
      </c>
    </row>
    <row r="122" spans="2:22">
      <c r="B122" s="8" t="str">
        <f>IF(C122="","",COUNT($C$10:C122))</f>
        <v/>
      </c>
      <c r="C122" s="20"/>
      <c r="D122" s="11"/>
      <c r="E122" s="9"/>
      <c r="F122" s="21" t="str">
        <f>IF(E122="","",IFERROR(INDEX(食材マスタ!$D$10:$D$309,MATCH(E122,食材マスタ!$C$10:$C$309,0)),"※コード未登録"))</f>
        <v/>
      </c>
      <c r="G122" s="16"/>
      <c r="H122" s="8" t="str">
        <f>IF(E122="","",IFERROR(INDEX(食材マスタ!$H$10:$H$309,MATCH(E122,食材マスタ!$C$10:$C$309,0)),""))</f>
        <v/>
      </c>
      <c r="I122" s="15" t="str">
        <f>IF(E122="","",IFERROR(INDEX(食材マスタ!$K$10:$K$309,MATCH(E122,食材マスタ!$C$10:$C$309,0)),""))</f>
        <v/>
      </c>
      <c r="J122" s="15" t="str">
        <f t="shared" si="5"/>
        <v/>
      </c>
      <c r="K122" s="20"/>
      <c r="L122" s="8" t="str">
        <f t="shared" si="6"/>
        <v/>
      </c>
      <c r="M122" s="9"/>
      <c r="N122" s="13" t="str">
        <f t="shared" si="7"/>
        <v/>
      </c>
      <c r="O122" s="22" t="str">
        <f t="shared" ca="1" si="8"/>
        <v/>
      </c>
      <c r="P122" s="17" t="str">
        <f t="shared" si="9"/>
        <v/>
      </c>
      <c r="Q122" s="11"/>
      <c r="R122" s="19"/>
      <c r="S122" s="19"/>
      <c r="U122">
        <f ca="1">IF(AND(ISNUMBER(O122),O122&lt;=設定!$C$4),1,0)</f>
        <v>0</v>
      </c>
      <c r="V122" t="str">
        <f ca="1">IF(U122=1,SUM($U$10:U122),"")</f>
        <v/>
      </c>
    </row>
    <row r="123" spans="2:22">
      <c r="B123" s="8" t="str">
        <f>IF(C123="","",COUNT($C$10:C123))</f>
        <v/>
      </c>
      <c r="C123" s="20"/>
      <c r="D123" s="11"/>
      <c r="E123" s="9"/>
      <c r="F123" s="21" t="str">
        <f>IF(E123="","",IFERROR(INDEX(食材マスタ!$D$10:$D$309,MATCH(E123,食材マスタ!$C$10:$C$309,0)),"※コード未登録"))</f>
        <v/>
      </c>
      <c r="G123" s="16"/>
      <c r="H123" s="8" t="str">
        <f>IF(E123="","",IFERROR(INDEX(食材マスタ!$H$10:$H$309,MATCH(E123,食材マスタ!$C$10:$C$309,0)),""))</f>
        <v/>
      </c>
      <c r="I123" s="15" t="str">
        <f>IF(E123="","",IFERROR(INDEX(食材マスタ!$K$10:$K$309,MATCH(E123,食材マスタ!$C$10:$C$309,0)),""))</f>
        <v/>
      </c>
      <c r="J123" s="15" t="str">
        <f t="shared" si="5"/>
        <v/>
      </c>
      <c r="K123" s="20"/>
      <c r="L123" s="8" t="str">
        <f t="shared" si="6"/>
        <v/>
      </c>
      <c r="M123" s="9"/>
      <c r="N123" s="13" t="str">
        <f t="shared" si="7"/>
        <v/>
      </c>
      <c r="O123" s="22" t="str">
        <f t="shared" ca="1" si="8"/>
        <v/>
      </c>
      <c r="P123" s="17" t="str">
        <f t="shared" si="9"/>
        <v/>
      </c>
      <c r="Q123" s="11"/>
      <c r="R123" s="19"/>
      <c r="S123" s="19"/>
      <c r="U123">
        <f ca="1">IF(AND(ISNUMBER(O123),O123&lt;=設定!$C$4),1,0)</f>
        <v>0</v>
      </c>
      <c r="V123" t="str">
        <f ca="1">IF(U123=1,SUM($U$10:U123),"")</f>
        <v/>
      </c>
    </row>
    <row r="124" spans="2:22">
      <c r="B124" s="8" t="str">
        <f>IF(C124="","",COUNT($C$10:C124))</f>
        <v/>
      </c>
      <c r="C124" s="20"/>
      <c r="D124" s="11"/>
      <c r="E124" s="9"/>
      <c r="F124" s="21" t="str">
        <f>IF(E124="","",IFERROR(INDEX(食材マスタ!$D$10:$D$309,MATCH(E124,食材マスタ!$C$10:$C$309,0)),"※コード未登録"))</f>
        <v/>
      </c>
      <c r="G124" s="16"/>
      <c r="H124" s="8" t="str">
        <f>IF(E124="","",IFERROR(INDEX(食材マスタ!$H$10:$H$309,MATCH(E124,食材マスタ!$C$10:$C$309,0)),""))</f>
        <v/>
      </c>
      <c r="I124" s="15" t="str">
        <f>IF(E124="","",IFERROR(INDEX(食材マスタ!$K$10:$K$309,MATCH(E124,食材マスタ!$C$10:$C$309,0)),""))</f>
        <v/>
      </c>
      <c r="J124" s="15" t="str">
        <f t="shared" si="5"/>
        <v/>
      </c>
      <c r="K124" s="20"/>
      <c r="L124" s="8" t="str">
        <f t="shared" si="6"/>
        <v/>
      </c>
      <c r="M124" s="9"/>
      <c r="N124" s="13" t="str">
        <f t="shared" si="7"/>
        <v/>
      </c>
      <c r="O124" s="22" t="str">
        <f t="shared" ca="1" si="8"/>
        <v/>
      </c>
      <c r="P124" s="17" t="str">
        <f t="shared" si="9"/>
        <v/>
      </c>
      <c r="Q124" s="11"/>
      <c r="R124" s="19"/>
      <c r="S124" s="19"/>
      <c r="U124">
        <f ca="1">IF(AND(ISNUMBER(O124),O124&lt;=設定!$C$4),1,0)</f>
        <v>0</v>
      </c>
      <c r="V124" t="str">
        <f ca="1">IF(U124=1,SUM($U$10:U124),"")</f>
        <v/>
      </c>
    </row>
    <row r="125" spans="2:22">
      <c r="B125" s="8" t="str">
        <f>IF(C125="","",COUNT($C$10:C125))</f>
        <v/>
      </c>
      <c r="C125" s="20"/>
      <c r="D125" s="11"/>
      <c r="E125" s="9"/>
      <c r="F125" s="21" t="str">
        <f>IF(E125="","",IFERROR(INDEX(食材マスタ!$D$10:$D$309,MATCH(E125,食材マスタ!$C$10:$C$309,0)),"※コード未登録"))</f>
        <v/>
      </c>
      <c r="G125" s="16"/>
      <c r="H125" s="8" t="str">
        <f>IF(E125="","",IFERROR(INDEX(食材マスタ!$H$10:$H$309,MATCH(E125,食材マスタ!$C$10:$C$309,0)),""))</f>
        <v/>
      </c>
      <c r="I125" s="15" t="str">
        <f>IF(E125="","",IFERROR(INDEX(食材マスタ!$K$10:$K$309,MATCH(E125,食材マスタ!$C$10:$C$309,0)),""))</f>
        <v/>
      </c>
      <c r="J125" s="15" t="str">
        <f t="shared" si="5"/>
        <v/>
      </c>
      <c r="K125" s="20"/>
      <c r="L125" s="8" t="str">
        <f t="shared" si="6"/>
        <v/>
      </c>
      <c r="M125" s="9"/>
      <c r="N125" s="13" t="str">
        <f t="shared" si="7"/>
        <v/>
      </c>
      <c r="O125" s="22" t="str">
        <f t="shared" ca="1" si="8"/>
        <v/>
      </c>
      <c r="P125" s="17" t="str">
        <f t="shared" si="9"/>
        <v/>
      </c>
      <c r="Q125" s="11"/>
      <c r="R125" s="19"/>
      <c r="S125" s="19"/>
      <c r="U125">
        <f ca="1">IF(AND(ISNUMBER(O125),O125&lt;=設定!$C$4),1,0)</f>
        <v>0</v>
      </c>
      <c r="V125" t="str">
        <f ca="1">IF(U125=1,SUM($U$10:U125),"")</f>
        <v/>
      </c>
    </row>
    <row r="126" spans="2:22">
      <c r="B126" s="8" t="str">
        <f>IF(C126="","",COUNT($C$10:C126))</f>
        <v/>
      </c>
      <c r="C126" s="20"/>
      <c r="D126" s="11"/>
      <c r="E126" s="9"/>
      <c r="F126" s="21" t="str">
        <f>IF(E126="","",IFERROR(INDEX(食材マスタ!$D$10:$D$309,MATCH(E126,食材マスタ!$C$10:$C$309,0)),"※コード未登録"))</f>
        <v/>
      </c>
      <c r="G126" s="16"/>
      <c r="H126" s="8" t="str">
        <f>IF(E126="","",IFERROR(INDEX(食材マスタ!$H$10:$H$309,MATCH(E126,食材マスタ!$C$10:$C$309,0)),""))</f>
        <v/>
      </c>
      <c r="I126" s="15" t="str">
        <f>IF(E126="","",IFERROR(INDEX(食材マスタ!$K$10:$K$309,MATCH(E126,食材マスタ!$C$10:$C$309,0)),""))</f>
        <v/>
      </c>
      <c r="J126" s="15" t="str">
        <f t="shared" si="5"/>
        <v/>
      </c>
      <c r="K126" s="20"/>
      <c r="L126" s="8" t="str">
        <f t="shared" si="6"/>
        <v/>
      </c>
      <c r="M126" s="9"/>
      <c r="N126" s="13" t="str">
        <f t="shared" si="7"/>
        <v/>
      </c>
      <c r="O126" s="22" t="str">
        <f t="shared" ca="1" si="8"/>
        <v/>
      </c>
      <c r="P126" s="17" t="str">
        <f t="shared" si="9"/>
        <v/>
      </c>
      <c r="Q126" s="11"/>
      <c r="R126" s="19"/>
      <c r="S126" s="19"/>
      <c r="U126">
        <f ca="1">IF(AND(ISNUMBER(O126),O126&lt;=設定!$C$4),1,0)</f>
        <v>0</v>
      </c>
      <c r="V126" t="str">
        <f ca="1">IF(U126=1,SUM($U$10:U126),"")</f>
        <v/>
      </c>
    </row>
    <row r="127" spans="2:22">
      <c r="B127" s="8" t="str">
        <f>IF(C127="","",COUNT($C$10:C127))</f>
        <v/>
      </c>
      <c r="C127" s="20"/>
      <c r="D127" s="11"/>
      <c r="E127" s="9"/>
      <c r="F127" s="21" t="str">
        <f>IF(E127="","",IFERROR(INDEX(食材マスタ!$D$10:$D$309,MATCH(E127,食材マスタ!$C$10:$C$309,0)),"※コード未登録"))</f>
        <v/>
      </c>
      <c r="G127" s="16"/>
      <c r="H127" s="8" t="str">
        <f>IF(E127="","",IFERROR(INDEX(食材マスタ!$H$10:$H$309,MATCH(E127,食材マスタ!$C$10:$C$309,0)),""))</f>
        <v/>
      </c>
      <c r="I127" s="15" t="str">
        <f>IF(E127="","",IFERROR(INDEX(食材マスタ!$K$10:$K$309,MATCH(E127,食材マスタ!$C$10:$C$309,0)),""))</f>
        <v/>
      </c>
      <c r="J127" s="15" t="str">
        <f t="shared" si="5"/>
        <v/>
      </c>
      <c r="K127" s="20"/>
      <c r="L127" s="8" t="str">
        <f t="shared" si="6"/>
        <v/>
      </c>
      <c r="M127" s="9"/>
      <c r="N127" s="13" t="str">
        <f t="shared" si="7"/>
        <v/>
      </c>
      <c r="O127" s="22" t="str">
        <f t="shared" ca="1" si="8"/>
        <v/>
      </c>
      <c r="P127" s="17" t="str">
        <f t="shared" si="9"/>
        <v/>
      </c>
      <c r="Q127" s="11"/>
      <c r="R127" s="19"/>
      <c r="S127" s="19"/>
      <c r="U127">
        <f ca="1">IF(AND(ISNUMBER(O127),O127&lt;=設定!$C$4),1,0)</f>
        <v>0</v>
      </c>
      <c r="V127" t="str">
        <f ca="1">IF(U127=1,SUM($U$10:U127),"")</f>
        <v/>
      </c>
    </row>
    <row r="128" spans="2:22">
      <c r="B128" s="8" t="str">
        <f>IF(C128="","",COUNT($C$10:C128))</f>
        <v/>
      </c>
      <c r="C128" s="20"/>
      <c r="D128" s="11"/>
      <c r="E128" s="9"/>
      <c r="F128" s="21" t="str">
        <f>IF(E128="","",IFERROR(INDEX(食材マスタ!$D$10:$D$309,MATCH(E128,食材マスタ!$C$10:$C$309,0)),"※コード未登録"))</f>
        <v/>
      </c>
      <c r="G128" s="16"/>
      <c r="H128" s="8" t="str">
        <f>IF(E128="","",IFERROR(INDEX(食材マスタ!$H$10:$H$309,MATCH(E128,食材マスタ!$C$10:$C$309,0)),""))</f>
        <v/>
      </c>
      <c r="I128" s="15" t="str">
        <f>IF(E128="","",IFERROR(INDEX(食材マスタ!$K$10:$K$309,MATCH(E128,食材マスタ!$C$10:$C$309,0)),""))</f>
        <v/>
      </c>
      <c r="J128" s="15" t="str">
        <f t="shared" si="5"/>
        <v/>
      </c>
      <c r="K128" s="20"/>
      <c r="L128" s="8" t="str">
        <f t="shared" si="6"/>
        <v/>
      </c>
      <c r="M128" s="9"/>
      <c r="N128" s="13" t="str">
        <f t="shared" si="7"/>
        <v/>
      </c>
      <c r="O128" s="22" t="str">
        <f t="shared" ca="1" si="8"/>
        <v/>
      </c>
      <c r="P128" s="17" t="str">
        <f t="shared" si="9"/>
        <v/>
      </c>
      <c r="Q128" s="11"/>
      <c r="R128" s="19"/>
      <c r="S128" s="19"/>
      <c r="U128">
        <f ca="1">IF(AND(ISNUMBER(O128),O128&lt;=設定!$C$4),1,0)</f>
        <v>0</v>
      </c>
      <c r="V128" t="str">
        <f ca="1">IF(U128=1,SUM($U$10:U128),"")</f>
        <v/>
      </c>
    </row>
    <row r="129" spans="2:22">
      <c r="B129" s="8" t="str">
        <f>IF(C129="","",COUNT($C$10:C129))</f>
        <v/>
      </c>
      <c r="C129" s="20"/>
      <c r="D129" s="11"/>
      <c r="E129" s="9"/>
      <c r="F129" s="21" t="str">
        <f>IF(E129="","",IFERROR(INDEX(食材マスタ!$D$10:$D$309,MATCH(E129,食材マスタ!$C$10:$C$309,0)),"※コード未登録"))</f>
        <v/>
      </c>
      <c r="G129" s="16"/>
      <c r="H129" s="8" t="str">
        <f>IF(E129="","",IFERROR(INDEX(食材マスタ!$H$10:$H$309,MATCH(E129,食材マスタ!$C$10:$C$309,0)),""))</f>
        <v/>
      </c>
      <c r="I129" s="15" t="str">
        <f>IF(E129="","",IFERROR(INDEX(食材マスタ!$K$10:$K$309,MATCH(E129,食材マスタ!$C$10:$C$309,0)),""))</f>
        <v/>
      </c>
      <c r="J129" s="15" t="str">
        <f t="shared" si="5"/>
        <v/>
      </c>
      <c r="K129" s="20"/>
      <c r="L129" s="8" t="str">
        <f t="shared" si="6"/>
        <v/>
      </c>
      <c r="M129" s="9"/>
      <c r="N129" s="13" t="str">
        <f t="shared" si="7"/>
        <v/>
      </c>
      <c r="O129" s="22" t="str">
        <f t="shared" ca="1" si="8"/>
        <v/>
      </c>
      <c r="P129" s="17" t="str">
        <f t="shared" si="9"/>
        <v/>
      </c>
      <c r="Q129" s="11"/>
      <c r="R129" s="19"/>
      <c r="S129" s="19"/>
      <c r="U129">
        <f ca="1">IF(AND(ISNUMBER(O129),O129&lt;=設定!$C$4),1,0)</f>
        <v>0</v>
      </c>
      <c r="V129" t="str">
        <f ca="1">IF(U129=1,SUM($U$10:U129),"")</f>
        <v/>
      </c>
    </row>
    <row r="130" spans="2:22">
      <c r="B130" s="8" t="str">
        <f>IF(C130="","",COUNT($C$10:C130))</f>
        <v/>
      </c>
      <c r="C130" s="20"/>
      <c r="D130" s="11"/>
      <c r="E130" s="9"/>
      <c r="F130" s="21" t="str">
        <f>IF(E130="","",IFERROR(INDEX(食材マスタ!$D$10:$D$309,MATCH(E130,食材マスタ!$C$10:$C$309,0)),"※コード未登録"))</f>
        <v/>
      </c>
      <c r="G130" s="16"/>
      <c r="H130" s="8" t="str">
        <f>IF(E130="","",IFERROR(INDEX(食材マスタ!$H$10:$H$309,MATCH(E130,食材マスタ!$C$10:$C$309,0)),""))</f>
        <v/>
      </c>
      <c r="I130" s="15" t="str">
        <f>IF(E130="","",IFERROR(INDEX(食材マスタ!$K$10:$K$309,MATCH(E130,食材マスタ!$C$10:$C$309,0)),""))</f>
        <v/>
      </c>
      <c r="J130" s="15" t="str">
        <f t="shared" si="5"/>
        <v/>
      </c>
      <c r="K130" s="20"/>
      <c r="L130" s="8" t="str">
        <f t="shared" si="6"/>
        <v/>
      </c>
      <c r="M130" s="9"/>
      <c r="N130" s="13" t="str">
        <f t="shared" si="7"/>
        <v/>
      </c>
      <c r="O130" s="22" t="str">
        <f t="shared" ca="1" si="8"/>
        <v/>
      </c>
      <c r="P130" s="17" t="str">
        <f t="shared" si="9"/>
        <v/>
      </c>
      <c r="Q130" s="11"/>
      <c r="R130" s="19"/>
      <c r="S130" s="19"/>
      <c r="U130">
        <f ca="1">IF(AND(ISNUMBER(O130),O130&lt;=設定!$C$4),1,0)</f>
        <v>0</v>
      </c>
      <c r="V130" t="str">
        <f ca="1">IF(U130=1,SUM($U$10:U130),"")</f>
        <v/>
      </c>
    </row>
    <row r="131" spans="2:22">
      <c r="B131" s="8" t="str">
        <f>IF(C131="","",COUNT($C$10:C131))</f>
        <v/>
      </c>
      <c r="C131" s="20"/>
      <c r="D131" s="11"/>
      <c r="E131" s="9"/>
      <c r="F131" s="21" t="str">
        <f>IF(E131="","",IFERROR(INDEX(食材マスタ!$D$10:$D$309,MATCH(E131,食材マスタ!$C$10:$C$309,0)),"※コード未登録"))</f>
        <v/>
      </c>
      <c r="G131" s="16"/>
      <c r="H131" s="8" t="str">
        <f>IF(E131="","",IFERROR(INDEX(食材マスタ!$H$10:$H$309,MATCH(E131,食材マスタ!$C$10:$C$309,0)),""))</f>
        <v/>
      </c>
      <c r="I131" s="15" t="str">
        <f>IF(E131="","",IFERROR(INDEX(食材マスタ!$K$10:$K$309,MATCH(E131,食材マスタ!$C$10:$C$309,0)),""))</f>
        <v/>
      </c>
      <c r="J131" s="15" t="str">
        <f t="shared" si="5"/>
        <v/>
      </c>
      <c r="K131" s="20"/>
      <c r="L131" s="8" t="str">
        <f t="shared" si="6"/>
        <v/>
      </c>
      <c r="M131" s="9"/>
      <c r="N131" s="13" t="str">
        <f t="shared" si="7"/>
        <v/>
      </c>
      <c r="O131" s="22" t="str">
        <f t="shared" ca="1" si="8"/>
        <v/>
      </c>
      <c r="P131" s="17" t="str">
        <f t="shared" si="9"/>
        <v/>
      </c>
      <c r="Q131" s="11"/>
      <c r="R131" s="19"/>
      <c r="S131" s="19"/>
      <c r="U131">
        <f ca="1">IF(AND(ISNUMBER(O131),O131&lt;=設定!$C$4),1,0)</f>
        <v>0</v>
      </c>
      <c r="V131" t="str">
        <f ca="1">IF(U131=1,SUM($U$10:U131),"")</f>
        <v/>
      </c>
    </row>
    <row r="132" spans="2:22">
      <c r="B132" s="8" t="str">
        <f>IF(C132="","",COUNT($C$10:C132))</f>
        <v/>
      </c>
      <c r="C132" s="20"/>
      <c r="D132" s="11"/>
      <c r="E132" s="9"/>
      <c r="F132" s="21" t="str">
        <f>IF(E132="","",IFERROR(INDEX(食材マスタ!$D$10:$D$309,MATCH(E132,食材マスタ!$C$10:$C$309,0)),"※コード未登録"))</f>
        <v/>
      </c>
      <c r="G132" s="16"/>
      <c r="H132" s="8" t="str">
        <f>IF(E132="","",IFERROR(INDEX(食材マスタ!$H$10:$H$309,MATCH(E132,食材マスタ!$C$10:$C$309,0)),""))</f>
        <v/>
      </c>
      <c r="I132" s="15" t="str">
        <f>IF(E132="","",IFERROR(INDEX(食材マスタ!$K$10:$K$309,MATCH(E132,食材マスタ!$C$10:$C$309,0)),""))</f>
        <v/>
      </c>
      <c r="J132" s="15" t="str">
        <f t="shared" si="5"/>
        <v/>
      </c>
      <c r="K132" s="20"/>
      <c r="L132" s="8" t="str">
        <f t="shared" si="6"/>
        <v/>
      </c>
      <c r="M132" s="9"/>
      <c r="N132" s="13" t="str">
        <f t="shared" si="7"/>
        <v/>
      </c>
      <c r="O132" s="22" t="str">
        <f t="shared" ca="1" si="8"/>
        <v/>
      </c>
      <c r="P132" s="17" t="str">
        <f t="shared" si="9"/>
        <v/>
      </c>
      <c r="Q132" s="11"/>
      <c r="R132" s="19"/>
      <c r="S132" s="19"/>
      <c r="U132">
        <f ca="1">IF(AND(ISNUMBER(O132),O132&lt;=設定!$C$4),1,0)</f>
        <v>0</v>
      </c>
      <c r="V132" t="str">
        <f ca="1">IF(U132=1,SUM($U$10:U132),"")</f>
        <v/>
      </c>
    </row>
    <row r="133" spans="2:22">
      <c r="B133" s="8" t="str">
        <f>IF(C133="","",COUNT($C$10:C133))</f>
        <v/>
      </c>
      <c r="C133" s="20"/>
      <c r="D133" s="11"/>
      <c r="E133" s="9"/>
      <c r="F133" s="21" t="str">
        <f>IF(E133="","",IFERROR(INDEX(食材マスタ!$D$10:$D$309,MATCH(E133,食材マスタ!$C$10:$C$309,0)),"※コード未登録"))</f>
        <v/>
      </c>
      <c r="G133" s="16"/>
      <c r="H133" s="8" t="str">
        <f>IF(E133="","",IFERROR(INDEX(食材マスタ!$H$10:$H$309,MATCH(E133,食材マスタ!$C$10:$C$309,0)),""))</f>
        <v/>
      </c>
      <c r="I133" s="15" t="str">
        <f>IF(E133="","",IFERROR(INDEX(食材マスタ!$K$10:$K$309,MATCH(E133,食材マスタ!$C$10:$C$309,0)),""))</f>
        <v/>
      </c>
      <c r="J133" s="15" t="str">
        <f t="shared" si="5"/>
        <v/>
      </c>
      <c r="K133" s="20"/>
      <c r="L133" s="8" t="str">
        <f t="shared" si="6"/>
        <v/>
      </c>
      <c r="M133" s="9"/>
      <c r="N133" s="13" t="str">
        <f t="shared" si="7"/>
        <v/>
      </c>
      <c r="O133" s="22" t="str">
        <f t="shared" ca="1" si="8"/>
        <v/>
      </c>
      <c r="P133" s="17" t="str">
        <f t="shared" si="9"/>
        <v/>
      </c>
      <c r="Q133" s="11"/>
      <c r="R133" s="19"/>
      <c r="S133" s="19"/>
      <c r="U133">
        <f ca="1">IF(AND(ISNUMBER(O133),O133&lt;=設定!$C$4),1,0)</f>
        <v>0</v>
      </c>
      <c r="V133" t="str">
        <f ca="1">IF(U133=1,SUM($U$10:U133),"")</f>
        <v/>
      </c>
    </row>
    <row r="134" spans="2:22">
      <c r="B134" s="8" t="str">
        <f>IF(C134="","",COUNT($C$10:C134))</f>
        <v/>
      </c>
      <c r="C134" s="20"/>
      <c r="D134" s="11"/>
      <c r="E134" s="9"/>
      <c r="F134" s="21" t="str">
        <f>IF(E134="","",IFERROR(INDEX(食材マスタ!$D$10:$D$309,MATCH(E134,食材マスタ!$C$10:$C$309,0)),"※コード未登録"))</f>
        <v/>
      </c>
      <c r="G134" s="16"/>
      <c r="H134" s="8" t="str">
        <f>IF(E134="","",IFERROR(INDEX(食材マスタ!$H$10:$H$309,MATCH(E134,食材マスタ!$C$10:$C$309,0)),""))</f>
        <v/>
      </c>
      <c r="I134" s="15" t="str">
        <f>IF(E134="","",IFERROR(INDEX(食材マスタ!$K$10:$K$309,MATCH(E134,食材マスタ!$C$10:$C$309,0)),""))</f>
        <v/>
      </c>
      <c r="J134" s="15" t="str">
        <f t="shared" si="5"/>
        <v/>
      </c>
      <c r="K134" s="20"/>
      <c r="L134" s="8" t="str">
        <f t="shared" si="6"/>
        <v/>
      </c>
      <c r="M134" s="9"/>
      <c r="N134" s="13" t="str">
        <f t="shared" si="7"/>
        <v/>
      </c>
      <c r="O134" s="22" t="str">
        <f t="shared" ca="1" si="8"/>
        <v/>
      </c>
      <c r="P134" s="17" t="str">
        <f t="shared" si="9"/>
        <v/>
      </c>
      <c r="Q134" s="11"/>
      <c r="R134" s="19"/>
      <c r="S134" s="19"/>
      <c r="U134">
        <f ca="1">IF(AND(ISNUMBER(O134),O134&lt;=設定!$C$4),1,0)</f>
        <v>0</v>
      </c>
      <c r="V134" t="str">
        <f ca="1">IF(U134=1,SUM($U$10:U134),"")</f>
        <v/>
      </c>
    </row>
    <row r="135" spans="2:22">
      <c r="B135" s="8" t="str">
        <f>IF(C135="","",COUNT($C$10:C135))</f>
        <v/>
      </c>
      <c r="C135" s="20"/>
      <c r="D135" s="11"/>
      <c r="E135" s="9"/>
      <c r="F135" s="21" t="str">
        <f>IF(E135="","",IFERROR(INDEX(食材マスタ!$D$10:$D$309,MATCH(E135,食材マスタ!$C$10:$C$309,0)),"※コード未登録"))</f>
        <v/>
      </c>
      <c r="G135" s="16"/>
      <c r="H135" s="8" t="str">
        <f>IF(E135="","",IFERROR(INDEX(食材マスタ!$H$10:$H$309,MATCH(E135,食材マスタ!$C$10:$C$309,0)),""))</f>
        <v/>
      </c>
      <c r="I135" s="15" t="str">
        <f>IF(E135="","",IFERROR(INDEX(食材マスタ!$K$10:$K$309,MATCH(E135,食材マスタ!$C$10:$C$309,0)),""))</f>
        <v/>
      </c>
      <c r="J135" s="15" t="str">
        <f t="shared" si="5"/>
        <v/>
      </c>
      <c r="K135" s="20"/>
      <c r="L135" s="8" t="str">
        <f t="shared" si="6"/>
        <v/>
      </c>
      <c r="M135" s="9"/>
      <c r="N135" s="13" t="str">
        <f t="shared" si="7"/>
        <v/>
      </c>
      <c r="O135" s="22" t="str">
        <f t="shared" ca="1" si="8"/>
        <v/>
      </c>
      <c r="P135" s="17" t="str">
        <f t="shared" si="9"/>
        <v/>
      </c>
      <c r="Q135" s="11"/>
      <c r="R135" s="19"/>
      <c r="S135" s="19"/>
      <c r="U135">
        <f ca="1">IF(AND(ISNUMBER(O135),O135&lt;=設定!$C$4),1,0)</f>
        <v>0</v>
      </c>
      <c r="V135" t="str">
        <f ca="1">IF(U135=1,SUM($U$10:U135),"")</f>
        <v/>
      </c>
    </row>
    <row r="136" spans="2:22">
      <c r="B136" s="8" t="str">
        <f>IF(C136="","",COUNT($C$10:C136))</f>
        <v/>
      </c>
      <c r="C136" s="20"/>
      <c r="D136" s="11"/>
      <c r="E136" s="9"/>
      <c r="F136" s="21" t="str">
        <f>IF(E136="","",IFERROR(INDEX(食材マスタ!$D$10:$D$309,MATCH(E136,食材マスタ!$C$10:$C$309,0)),"※コード未登録"))</f>
        <v/>
      </c>
      <c r="G136" s="16"/>
      <c r="H136" s="8" t="str">
        <f>IF(E136="","",IFERROR(INDEX(食材マスタ!$H$10:$H$309,MATCH(E136,食材マスタ!$C$10:$C$309,0)),""))</f>
        <v/>
      </c>
      <c r="I136" s="15" t="str">
        <f>IF(E136="","",IFERROR(INDEX(食材マスタ!$K$10:$K$309,MATCH(E136,食材マスタ!$C$10:$C$309,0)),""))</f>
        <v/>
      </c>
      <c r="J136" s="15" t="str">
        <f t="shared" si="5"/>
        <v/>
      </c>
      <c r="K136" s="20"/>
      <c r="L136" s="8" t="str">
        <f t="shared" si="6"/>
        <v/>
      </c>
      <c r="M136" s="9"/>
      <c r="N136" s="13" t="str">
        <f t="shared" si="7"/>
        <v/>
      </c>
      <c r="O136" s="22" t="str">
        <f t="shared" ca="1" si="8"/>
        <v/>
      </c>
      <c r="P136" s="17" t="str">
        <f t="shared" si="9"/>
        <v/>
      </c>
      <c r="Q136" s="11"/>
      <c r="R136" s="19"/>
      <c r="S136" s="19"/>
      <c r="U136">
        <f ca="1">IF(AND(ISNUMBER(O136),O136&lt;=設定!$C$4),1,0)</f>
        <v>0</v>
      </c>
      <c r="V136" t="str">
        <f ca="1">IF(U136=1,SUM($U$10:U136),"")</f>
        <v/>
      </c>
    </row>
    <row r="137" spans="2:22">
      <c r="B137" s="8" t="str">
        <f>IF(C137="","",COUNT($C$10:C137))</f>
        <v/>
      </c>
      <c r="C137" s="20"/>
      <c r="D137" s="11"/>
      <c r="E137" s="9"/>
      <c r="F137" s="21" t="str">
        <f>IF(E137="","",IFERROR(INDEX(食材マスタ!$D$10:$D$309,MATCH(E137,食材マスタ!$C$10:$C$309,0)),"※コード未登録"))</f>
        <v/>
      </c>
      <c r="G137" s="16"/>
      <c r="H137" s="8" t="str">
        <f>IF(E137="","",IFERROR(INDEX(食材マスタ!$H$10:$H$309,MATCH(E137,食材マスタ!$C$10:$C$309,0)),""))</f>
        <v/>
      </c>
      <c r="I137" s="15" t="str">
        <f>IF(E137="","",IFERROR(INDEX(食材マスタ!$K$10:$K$309,MATCH(E137,食材マスタ!$C$10:$C$309,0)),""))</f>
        <v/>
      </c>
      <c r="J137" s="15" t="str">
        <f t="shared" si="5"/>
        <v/>
      </c>
      <c r="K137" s="20"/>
      <c r="L137" s="8" t="str">
        <f t="shared" si="6"/>
        <v/>
      </c>
      <c r="M137" s="9"/>
      <c r="N137" s="13" t="str">
        <f t="shared" si="7"/>
        <v/>
      </c>
      <c r="O137" s="22" t="str">
        <f t="shared" ca="1" si="8"/>
        <v/>
      </c>
      <c r="P137" s="17" t="str">
        <f t="shared" si="9"/>
        <v/>
      </c>
      <c r="Q137" s="11"/>
      <c r="R137" s="19"/>
      <c r="S137" s="19"/>
      <c r="U137">
        <f ca="1">IF(AND(ISNUMBER(O137),O137&lt;=設定!$C$4),1,0)</f>
        <v>0</v>
      </c>
      <c r="V137" t="str">
        <f ca="1">IF(U137=1,SUM($U$10:U137),"")</f>
        <v/>
      </c>
    </row>
    <row r="138" spans="2:22">
      <c r="B138" s="8" t="str">
        <f>IF(C138="","",COUNT($C$10:C138))</f>
        <v/>
      </c>
      <c r="C138" s="20"/>
      <c r="D138" s="11"/>
      <c r="E138" s="9"/>
      <c r="F138" s="21" t="str">
        <f>IF(E138="","",IFERROR(INDEX(食材マスタ!$D$10:$D$309,MATCH(E138,食材マスタ!$C$10:$C$309,0)),"※コード未登録"))</f>
        <v/>
      </c>
      <c r="G138" s="16"/>
      <c r="H138" s="8" t="str">
        <f>IF(E138="","",IFERROR(INDEX(食材マスタ!$H$10:$H$309,MATCH(E138,食材マスタ!$C$10:$C$309,0)),""))</f>
        <v/>
      </c>
      <c r="I138" s="15" t="str">
        <f>IF(E138="","",IFERROR(INDEX(食材マスタ!$K$10:$K$309,MATCH(E138,食材マスタ!$C$10:$C$309,0)),""))</f>
        <v/>
      </c>
      <c r="J138" s="15" t="str">
        <f t="shared" ref="J138:J201" si="10">IF(OR(G138="",I138=""),"",ROUND(ABS(G138)*I138,0))</f>
        <v/>
      </c>
      <c r="K138" s="20"/>
      <c r="L138" s="8" t="str">
        <f t="shared" ref="L138:L201" si="11">IF(AND(D138="入庫",E138&lt;&gt;""),E138&amp;"-"&amp;TEXT(ROW()-9,"0000"),"")</f>
        <v/>
      </c>
      <c r="M138" s="9"/>
      <c r="N138" s="13" t="str">
        <f t="shared" ref="N138:N201" si="12">IF(L138="","",G138-SUMIFS($G$10:$G$1009,$M$10:$M$1009,L138,$D$10:$D$1009,"出庫")-SUMIFS($G$10:$G$1009,$M$10:$M$1009,L138,$D$10:$D$1009,"廃棄")+SUMIFS($G$10:$G$1009,$M$10:$M$1009,L138,$D$10:$D$1009,"棚卸調整"))</f>
        <v/>
      </c>
      <c r="O138" s="22" t="str">
        <f t="shared" ref="O138:O201" ca="1" si="13">IF(OR(L138="",K138=""),"",IF(N138&lt;=0,"",K138-TODAY()))</f>
        <v/>
      </c>
      <c r="P138" s="17" t="str">
        <f t="shared" ref="P138:P201" si="14">IF(E138="","",IF(F138="※コード未登録","コード未登録",IF(AND(OR(D138="出庫",D138="廃棄"),M138=""),"ロット未指定",IF(AND(M138&lt;&gt;"",LEFT(M138,LEN(E138)+1)&lt;&gt;E138&amp;"-"),"ロット違い",IF(AND(L138&lt;&gt;"",N138&lt;0),"ロット残マイナス","")))))</f>
        <v/>
      </c>
      <c r="Q138" s="11"/>
      <c r="R138" s="19"/>
      <c r="S138" s="19"/>
      <c r="U138">
        <f ca="1">IF(AND(ISNUMBER(O138),O138&lt;=設定!$C$4),1,0)</f>
        <v>0</v>
      </c>
      <c r="V138" t="str">
        <f ca="1">IF(U138=1,SUM($U$10:U138),"")</f>
        <v/>
      </c>
    </row>
    <row r="139" spans="2:22">
      <c r="B139" s="8" t="str">
        <f>IF(C139="","",COUNT($C$10:C139))</f>
        <v/>
      </c>
      <c r="C139" s="20"/>
      <c r="D139" s="11"/>
      <c r="E139" s="9"/>
      <c r="F139" s="21" t="str">
        <f>IF(E139="","",IFERROR(INDEX(食材マスタ!$D$10:$D$309,MATCH(E139,食材マスタ!$C$10:$C$309,0)),"※コード未登録"))</f>
        <v/>
      </c>
      <c r="G139" s="16"/>
      <c r="H139" s="8" t="str">
        <f>IF(E139="","",IFERROR(INDEX(食材マスタ!$H$10:$H$309,MATCH(E139,食材マスタ!$C$10:$C$309,0)),""))</f>
        <v/>
      </c>
      <c r="I139" s="15" t="str">
        <f>IF(E139="","",IFERROR(INDEX(食材マスタ!$K$10:$K$309,MATCH(E139,食材マスタ!$C$10:$C$309,0)),""))</f>
        <v/>
      </c>
      <c r="J139" s="15" t="str">
        <f t="shared" si="10"/>
        <v/>
      </c>
      <c r="K139" s="20"/>
      <c r="L139" s="8" t="str">
        <f t="shared" si="11"/>
        <v/>
      </c>
      <c r="M139" s="9"/>
      <c r="N139" s="13" t="str">
        <f t="shared" si="12"/>
        <v/>
      </c>
      <c r="O139" s="22" t="str">
        <f t="shared" ca="1" si="13"/>
        <v/>
      </c>
      <c r="P139" s="17" t="str">
        <f t="shared" si="14"/>
        <v/>
      </c>
      <c r="Q139" s="11"/>
      <c r="R139" s="19"/>
      <c r="S139" s="19"/>
      <c r="U139">
        <f ca="1">IF(AND(ISNUMBER(O139),O139&lt;=設定!$C$4),1,0)</f>
        <v>0</v>
      </c>
      <c r="V139" t="str">
        <f ca="1">IF(U139=1,SUM($U$10:U139),"")</f>
        <v/>
      </c>
    </row>
    <row r="140" spans="2:22">
      <c r="B140" s="8" t="str">
        <f>IF(C140="","",COUNT($C$10:C140))</f>
        <v/>
      </c>
      <c r="C140" s="20"/>
      <c r="D140" s="11"/>
      <c r="E140" s="9"/>
      <c r="F140" s="21" t="str">
        <f>IF(E140="","",IFERROR(INDEX(食材マスタ!$D$10:$D$309,MATCH(E140,食材マスタ!$C$10:$C$309,0)),"※コード未登録"))</f>
        <v/>
      </c>
      <c r="G140" s="16"/>
      <c r="H140" s="8" t="str">
        <f>IF(E140="","",IFERROR(INDEX(食材マスタ!$H$10:$H$309,MATCH(E140,食材マスタ!$C$10:$C$309,0)),""))</f>
        <v/>
      </c>
      <c r="I140" s="15" t="str">
        <f>IF(E140="","",IFERROR(INDEX(食材マスタ!$K$10:$K$309,MATCH(E140,食材マスタ!$C$10:$C$309,0)),""))</f>
        <v/>
      </c>
      <c r="J140" s="15" t="str">
        <f t="shared" si="10"/>
        <v/>
      </c>
      <c r="K140" s="20"/>
      <c r="L140" s="8" t="str">
        <f t="shared" si="11"/>
        <v/>
      </c>
      <c r="M140" s="9"/>
      <c r="N140" s="13" t="str">
        <f t="shared" si="12"/>
        <v/>
      </c>
      <c r="O140" s="22" t="str">
        <f t="shared" ca="1" si="13"/>
        <v/>
      </c>
      <c r="P140" s="17" t="str">
        <f t="shared" si="14"/>
        <v/>
      </c>
      <c r="Q140" s="11"/>
      <c r="R140" s="19"/>
      <c r="S140" s="19"/>
      <c r="U140">
        <f ca="1">IF(AND(ISNUMBER(O140),O140&lt;=設定!$C$4),1,0)</f>
        <v>0</v>
      </c>
      <c r="V140" t="str">
        <f ca="1">IF(U140=1,SUM($U$10:U140),"")</f>
        <v/>
      </c>
    </row>
    <row r="141" spans="2:22">
      <c r="B141" s="8" t="str">
        <f>IF(C141="","",COUNT($C$10:C141))</f>
        <v/>
      </c>
      <c r="C141" s="20"/>
      <c r="D141" s="11"/>
      <c r="E141" s="9"/>
      <c r="F141" s="21" t="str">
        <f>IF(E141="","",IFERROR(INDEX(食材マスタ!$D$10:$D$309,MATCH(E141,食材マスタ!$C$10:$C$309,0)),"※コード未登録"))</f>
        <v/>
      </c>
      <c r="G141" s="16"/>
      <c r="H141" s="8" t="str">
        <f>IF(E141="","",IFERROR(INDEX(食材マスタ!$H$10:$H$309,MATCH(E141,食材マスタ!$C$10:$C$309,0)),""))</f>
        <v/>
      </c>
      <c r="I141" s="15" t="str">
        <f>IF(E141="","",IFERROR(INDEX(食材マスタ!$K$10:$K$309,MATCH(E141,食材マスタ!$C$10:$C$309,0)),""))</f>
        <v/>
      </c>
      <c r="J141" s="15" t="str">
        <f t="shared" si="10"/>
        <v/>
      </c>
      <c r="K141" s="20"/>
      <c r="L141" s="8" t="str">
        <f t="shared" si="11"/>
        <v/>
      </c>
      <c r="M141" s="9"/>
      <c r="N141" s="13" t="str">
        <f t="shared" si="12"/>
        <v/>
      </c>
      <c r="O141" s="22" t="str">
        <f t="shared" ca="1" si="13"/>
        <v/>
      </c>
      <c r="P141" s="17" t="str">
        <f t="shared" si="14"/>
        <v/>
      </c>
      <c r="Q141" s="11"/>
      <c r="R141" s="19"/>
      <c r="S141" s="19"/>
      <c r="U141">
        <f ca="1">IF(AND(ISNUMBER(O141),O141&lt;=設定!$C$4),1,0)</f>
        <v>0</v>
      </c>
      <c r="V141" t="str">
        <f ca="1">IF(U141=1,SUM($U$10:U141),"")</f>
        <v/>
      </c>
    </row>
    <row r="142" spans="2:22">
      <c r="B142" s="8" t="str">
        <f>IF(C142="","",COUNT($C$10:C142))</f>
        <v/>
      </c>
      <c r="C142" s="20"/>
      <c r="D142" s="11"/>
      <c r="E142" s="9"/>
      <c r="F142" s="21" t="str">
        <f>IF(E142="","",IFERROR(INDEX(食材マスタ!$D$10:$D$309,MATCH(E142,食材マスタ!$C$10:$C$309,0)),"※コード未登録"))</f>
        <v/>
      </c>
      <c r="G142" s="16"/>
      <c r="H142" s="8" t="str">
        <f>IF(E142="","",IFERROR(INDEX(食材マスタ!$H$10:$H$309,MATCH(E142,食材マスタ!$C$10:$C$309,0)),""))</f>
        <v/>
      </c>
      <c r="I142" s="15" t="str">
        <f>IF(E142="","",IFERROR(INDEX(食材マスタ!$K$10:$K$309,MATCH(E142,食材マスタ!$C$10:$C$309,0)),""))</f>
        <v/>
      </c>
      <c r="J142" s="15" t="str">
        <f t="shared" si="10"/>
        <v/>
      </c>
      <c r="K142" s="20"/>
      <c r="L142" s="8" t="str">
        <f t="shared" si="11"/>
        <v/>
      </c>
      <c r="M142" s="9"/>
      <c r="N142" s="13" t="str">
        <f t="shared" si="12"/>
        <v/>
      </c>
      <c r="O142" s="22" t="str">
        <f t="shared" ca="1" si="13"/>
        <v/>
      </c>
      <c r="P142" s="17" t="str">
        <f t="shared" si="14"/>
        <v/>
      </c>
      <c r="Q142" s="11"/>
      <c r="R142" s="19"/>
      <c r="S142" s="19"/>
      <c r="U142">
        <f ca="1">IF(AND(ISNUMBER(O142),O142&lt;=設定!$C$4),1,0)</f>
        <v>0</v>
      </c>
      <c r="V142" t="str">
        <f ca="1">IF(U142=1,SUM($U$10:U142),"")</f>
        <v/>
      </c>
    </row>
    <row r="143" spans="2:22">
      <c r="B143" s="8" t="str">
        <f>IF(C143="","",COUNT($C$10:C143))</f>
        <v/>
      </c>
      <c r="C143" s="20"/>
      <c r="D143" s="11"/>
      <c r="E143" s="9"/>
      <c r="F143" s="21" t="str">
        <f>IF(E143="","",IFERROR(INDEX(食材マスタ!$D$10:$D$309,MATCH(E143,食材マスタ!$C$10:$C$309,0)),"※コード未登録"))</f>
        <v/>
      </c>
      <c r="G143" s="16"/>
      <c r="H143" s="8" t="str">
        <f>IF(E143="","",IFERROR(INDEX(食材マスタ!$H$10:$H$309,MATCH(E143,食材マスタ!$C$10:$C$309,0)),""))</f>
        <v/>
      </c>
      <c r="I143" s="15" t="str">
        <f>IF(E143="","",IFERROR(INDEX(食材マスタ!$K$10:$K$309,MATCH(E143,食材マスタ!$C$10:$C$309,0)),""))</f>
        <v/>
      </c>
      <c r="J143" s="15" t="str">
        <f t="shared" si="10"/>
        <v/>
      </c>
      <c r="K143" s="20"/>
      <c r="L143" s="8" t="str">
        <f t="shared" si="11"/>
        <v/>
      </c>
      <c r="M143" s="9"/>
      <c r="N143" s="13" t="str">
        <f t="shared" si="12"/>
        <v/>
      </c>
      <c r="O143" s="22" t="str">
        <f t="shared" ca="1" si="13"/>
        <v/>
      </c>
      <c r="P143" s="17" t="str">
        <f t="shared" si="14"/>
        <v/>
      </c>
      <c r="Q143" s="11"/>
      <c r="R143" s="19"/>
      <c r="S143" s="19"/>
      <c r="U143">
        <f ca="1">IF(AND(ISNUMBER(O143),O143&lt;=設定!$C$4),1,0)</f>
        <v>0</v>
      </c>
      <c r="V143" t="str">
        <f ca="1">IF(U143=1,SUM($U$10:U143),"")</f>
        <v/>
      </c>
    </row>
    <row r="144" spans="2:22">
      <c r="B144" s="8" t="str">
        <f>IF(C144="","",COUNT($C$10:C144))</f>
        <v/>
      </c>
      <c r="C144" s="20"/>
      <c r="D144" s="11"/>
      <c r="E144" s="9"/>
      <c r="F144" s="21" t="str">
        <f>IF(E144="","",IFERROR(INDEX(食材マスタ!$D$10:$D$309,MATCH(E144,食材マスタ!$C$10:$C$309,0)),"※コード未登録"))</f>
        <v/>
      </c>
      <c r="G144" s="16"/>
      <c r="H144" s="8" t="str">
        <f>IF(E144="","",IFERROR(INDEX(食材マスタ!$H$10:$H$309,MATCH(E144,食材マスタ!$C$10:$C$309,0)),""))</f>
        <v/>
      </c>
      <c r="I144" s="15" t="str">
        <f>IF(E144="","",IFERROR(INDEX(食材マスタ!$K$10:$K$309,MATCH(E144,食材マスタ!$C$10:$C$309,0)),""))</f>
        <v/>
      </c>
      <c r="J144" s="15" t="str">
        <f t="shared" si="10"/>
        <v/>
      </c>
      <c r="K144" s="20"/>
      <c r="L144" s="8" t="str">
        <f t="shared" si="11"/>
        <v/>
      </c>
      <c r="M144" s="9"/>
      <c r="N144" s="13" t="str">
        <f t="shared" si="12"/>
        <v/>
      </c>
      <c r="O144" s="22" t="str">
        <f t="shared" ca="1" si="13"/>
        <v/>
      </c>
      <c r="P144" s="17" t="str">
        <f t="shared" si="14"/>
        <v/>
      </c>
      <c r="Q144" s="11"/>
      <c r="R144" s="19"/>
      <c r="S144" s="19"/>
      <c r="U144">
        <f ca="1">IF(AND(ISNUMBER(O144),O144&lt;=設定!$C$4),1,0)</f>
        <v>0</v>
      </c>
      <c r="V144" t="str">
        <f ca="1">IF(U144=1,SUM($U$10:U144),"")</f>
        <v/>
      </c>
    </row>
    <row r="145" spans="2:22">
      <c r="B145" s="8" t="str">
        <f>IF(C145="","",COUNT($C$10:C145))</f>
        <v/>
      </c>
      <c r="C145" s="20"/>
      <c r="D145" s="11"/>
      <c r="E145" s="9"/>
      <c r="F145" s="21" t="str">
        <f>IF(E145="","",IFERROR(INDEX(食材マスタ!$D$10:$D$309,MATCH(E145,食材マスタ!$C$10:$C$309,0)),"※コード未登録"))</f>
        <v/>
      </c>
      <c r="G145" s="16"/>
      <c r="H145" s="8" t="str">
        <f>IF(E145="","",IFERROR(INDEX(食材マスタ!$H$10:$H$309,MATCH(E145,食材マスタ!$C$10:$C$309,0)),""))</f>
        <v/>
      </c>
      <c r="I145" s="15" t="str">
        <f>IF(E145="","",IFERROR(INDEX(食材マスタ!$K$10:$K$309,MATCH(E145,食材マスタ!$C$10:$C$309,0)),""))</f>
        <v/>
      </c>
      <c r="J145" s="15" t="str">
        <f t="shared" si="10"/>
        <v/>
      </c>
      <c r="K145" s="20"/>
      <c r="L145" s="8" t="str">
        <f t="shared" si="11"/>
        <v/>
      </c>
      <c r="M145" s="9"/>
      <c r="N145" s="13" t="str">
        <f t="shared" si="12"/>
        <v/>
      </c>
      <c r="O145" s="22" t="str">
        <f t="shared" ca="1" si="13"/>
        <v/>
      </c>
      <c r="P145" s="17" t="str">
        <f t="shared" si="14"/>
        <v/>
      </c>
      <c r="Q145" s="11"/>
      <c r="R145" s="19"/>
      <c r="S145" s="19"/>
      <c r="U145">
        <f ca="1">IF(AND(ISNUMBER(O145),O145&lt;=設定!$C$4),1,0)</f>
        <v>0</v>
      </c>
      <c r="V145" t="str">
        <f ca="1">IF(U145=1,SUM($U$10:U145),"")</f>
        <v/>
      </c>
    </row>
    <row r="146" spans="2:22">
      <c r="B146" s="8" t="str">
        <f>IF(C146="","",COUNT($C$10:C146))</f>
        <v/>
      </c>
      <c r="C146" s="20"/>
      <c r="D146" s="11"/>
      <c r="E146" s="9"/>
      <c r="F146" s="21" t="str">
        <f>IF(E146="","",IFERROR(INDEX(食材マスタ!$D$10:$D$309,MATCH(E146,食材マスタ!$C$10:$C$309,0)),"※コード未登録"))</f>
        <v/>
      </c>
      <c r="G146" s="16"/>
      <c r="H146" s="8" t="str">
        <f>IF(E146="","",IFERROR(INDEX(食材マスタ!$H$10:$H$309,MATCH(E146,食材マスタ!$C$10:$C$309,0)),""))</f>
        <v/>
      </c>
      <c r="I146" s="15" t="str">
        <f>IF(E146="","",IFERROR(INDEX(食材マスタ!$K$10:$K$309,MATCH(E146,食材マスタ!$C$10:$C$309,0)),""))</f>
        <v/>
      </c>
      <c r="J146" s="15" t="str">
        <f t="shared" si="10"/>
        <v/>
      </c>
      <c r="K146" s="20"/>
      <c r="L146" s="8" t="str">
        <f t="shared" si="11"/>
        <v/>
      </c>
      <c r="M146" s="9"/>
      <c r="N146" s="13" t="str">
        <f t="shared" si="12"/>
        <v/>
      </c>
      <c r="O146" s="22" t="str">
        <f t="shared" ca="1" si="13"/>
        <v/>
      </c>
      <c r="P146" s="17" t="str">
        <f t="shared" si="14"/>
        <v/>
      </c>
      <c r="Q146" s="11"/>
      <c r="R146" s="19"/>
      <c r="S146" s="19"/>
      <c r="U146">
        <f ca="1">IF(AND(ISNUMBER(O146),O146&lt;=設定!$C$4),1,0)</f>
        <v>0</v>
      </c>
      <c r="V146" t="str">
        <f ca="1">IF(U146=1,SUM($U$10:U146),"")</f>
        <v/>
      </c>
    </row>
    <row r="147" spans="2:22">
      <c r="B147" s="8" t="str">
        <f>IF(C147="","",COUNT($C$10:C147))</f>
        <v/>
      </c>
      <c r="C147" s="20"/>
      <c r="D147" s="11"/>
      <c r="E147" s="9"/>
      <c r="F147" s="21" t="str">
        <f>IF(E147="","",IFERROR(INDEX(食材マスタ!$D$10:$D$309,MATCH(E147,食材マスタ!$C$10:$C$309,0)),"※コード未登録"))</f>
        <v/>
      </c>
      <c r="G147" s="16"/>
      <c r="H147" s="8" t="str">
        <f>IF(E147="","",IFERROR(INDEX(食材マスタ!$H$10:$H$309,MATCH(E147,食材マスタ!$C$10:$C$309,0)),""))</f>
        <v/>
      </c>
      <c r="I147" s="15" t="str">
        <f>IF(E147="","",IFERROR(INDEX(食材マスタ!$K$10:$K$309,MATCH(E147,食材マスタ!$C$10:$C$309,0)),""))</f>
        <v/>
      </c>
      <c r="J147" s="15" t="str">
        <f t="shared" si="10"/>
        <v/>
      </c>
      <c r="K147" s="20"/>
      <c r="L147" s="8" t="str">
        <f t="shared" si="11"/>
        <v/>
      </c>
      <c r="M147" s="9"/>
      <c r="N147" s="13" t="str">
        <f t="shared" si="12"/>
        <v/>
      </c>
      <c r="O147" s="22" t="str">
        <f t="shared" ca="1" si="13"/>
        <v/>
      </c>
      <c r="P147" s="17" t="str">
        <f t="shared" si="14"/>
        <v/>
      </c>
      <c r="Q147" s="11"/>
      <c r="R147" s="19"/>
      <c r="S147" s="19"/>
      <c r="U147">
        <f ca="1">IF(AND(ISNUMBER(O147),O147&lt;=設定!$C$4),1,0)</f>
        <v>0</v>
      </c>
      <c r="V147" t="str">
        <f ca="1">IF(U147=1,SUM($U$10:U147),"")</f>
        <v/>
      </c>
    </row>
    <row r="148" spans="2:22">
      <c r="B148" s="8" t="str">
        <f>IF(C148="","",COUNT($C$10:C148))</f>
        <v/>
      </c>
      <c r="C148" s="20"/>
      <c r="D148" s="11"/>
      <c r="E148" s="9"/>
      <c r="F148" s="21" t="str">
        <f>IF(E148="","",IFERROR(INDEX(食材マスタ!$D$10:$D$309,MATCH(E148,食材マスタ!$C$10:$C$309,0)),"※コード未登録"))</f>
        <v/>
      </c>
      <c r="G148" s="16"/>
      <c r="H148" s="8" t="str">
        <f>IF(E148="","",IFERROR(INDEX(食材マスタ!$H$10:$H$309,MATCH(E148,食材マスタ!$C$10:$C$309,0)),""))</f>
        <v/>
      </c>
      <c r="I148" s="15" t="str">
        <f>IF(E148="","",IFERROR(INDEX(食材マスタ!$K$10:$K$309,MATCH(E148,食材マスタ!$C$10:$C$309,0)),""))</f>
        <v/>
      </c>
      <c r="J148" s="15" t="str">
        <f t="shared" si="10"/>
        <v/>
      </c>
      <c r="K148" s="20"/>
      <c r="L148" s="8" t="str">
        <f t="shared" si="11"/>
        <v/>
      </c>
      <c r="M148" s="9"/>
      <c r="N148" s="13" t="str">
        <f t="shared" si="12"/>
        <v/>
      </c>
      <c r="O148" s="22" t="str">
        <f t="shared" ca="1" si="13"/>
        <v/>
      </c>
      <c r="P148" s="17" t="str">
        <f t="shared" si="14"/>
        <v/>
      </c>
      <c r="Q148" s="11"/>
      <c r="R148" s="19"/>
      <c r="S148" s="19"/>
      <c r="U148">
        <f ca="1">IF(AND(ISNUMBER(O148),O148&lt;=設定!$C$4),1,0)</f>
        <v>0</v>
      </c>
      <c r="V148" t="str">
        <f ca="1">IF(U148=1,SUM($U$10:U148),"")</f>
        <v/>
      </c>
    </row>
    <row r="149" spans="2:22">
      <c r="B149" s="8" t="str">
        <f>IF(C149="","",COUNT($C$10:C149))</f>
        <v/>
      </c>
      <c r="C149" s="20"/>
      <c r="D149" s="11"/>
      <c r="E149" s="9"/>
      <c r="F149" s="21" t="str">
        <f>IF(E149="","",IFERROR(INDEX(食材マスタ!$D$10:$D$309,MATCH(E149,食材マスタ!$C$10:$C$309,0)),"※コード未登録"))</f>
        <v/>
      </c>
      <c r="G149" s="16"/>
      <c r="H149" s="8" t="str">
        <f>IF(E149="","",IFERROR(INDEX(食材マスタ!$H$10:$H$309,MATCH(E149,食材マスタ!$C$10:$C$309,0)),""))</f>
        <v/>
      </c>
      <c r="I149" s="15" t="str">
        <f>IF(E149="","",IFERROR(INDEX(食材マスタ!$K$10:$K$309,MATCH(E149,食材マスタ!$C$10:$C$309,0)),""))</f>
        <v/>
      </c>
      <c r="J149" s="15" t="str">
        <f t="shared" si="10"/>
        <v/>
      </c>
      <c r="K149" s="20"/>
      <c r="L149" s="8" t="str">
        <f t="shared" si="11"/>
        <v/>
      </c>
      <c r="M149" s="9"/>
      <c r="N149" s="13" t="str">
        <f t="shared" si="12"/>
        <v/>
      </c>
      <c r="O149" s="22" t="str">
        <f t="shared" ca="1" si="13"/>
        <v/>
      </c>
      <c r="P149" s="17" t="str">
        <f t="shared" si="14"/>
        <v/>
      </c>
      <c r="Q149" s="11"/>
      <c r="R149" s="19"/>
      <c r="S149" s="19"/>
      <c r="U149">
        <f ca="1">IF(AND(ISNUMBER(O149),O149&lt;=設定!$C$4),1,0)</f>
        <v>0</v>
      </c>
      <c r="V149" t="str">
        <f ca="1">IF(U149=1,SUM($U$10:U149),"")</f>
        <v/>
      </c>
    </row>
    <row r="150" spans="2:22">
      <c r="B150" s="8" t="str">
        <f>IF(C150="","",COUNT($C$10:C150))</f>
        <v/>
      </c>
      <c r="C150" s="20"/>
      <c r="D150" s="11"/>
      <c r="E150" s="9"/>
      <c r="F150" s="21" t="str">
        <f>IF(E150="","",IFERROR(INDEX(食材マスタ!$D$10:$D$309,MATCH(E150,食材マスタ!$C$10:$C$309,0)),"※コード未登録"))</f>
        <v/>
      </c>
      <c r="G150" s="16"/>
      <c r="H150" s="8" t="str">
        <f>IF(E150="","",IFERROR(INDEX(食材マスタ!$H$10:$H$309,MATCH(E150,食材マスタ!$C$10:$C$309,0)),""))</f>
        <v/>
      </c>
      <c r="I150" s="15" t="str">
        <f>IF(E150="","",IFERROR(INDEX(食材マスタ!$K$10:$K$309,MATCH(E150,食材マスタ!$C$10:$C$309,0)),""))</f>
        <v/>
      </c>
      <c r="J150" s="15" t="str">
        <f t="shared" si="10"/>
        <v/>
      </c>
      <c r="K150" s="20"/>
      <c r="L150" s="8" t="str">
        <f t="shared" si="11"/>
        <v/>
      </c>
      <c r="M150" s="9"/>
      <c r="N150" s="13" t="str">
        <f t="shared" si="12"/>
        <v/>
      </c>
      <c r="O150" s="22" t="str">
        <f t="shared" ca="1" si="13"/>
        <v/>
      </c>
      <c r="P150" s="17" t="str">
        <f t="shared" si="14"/>
        <v/>
      </c>
      <c r="Q150" s="11"/>
      <c r="R150" s="19"/>
      <c r="S150" s="19"/>
      <c r="U150">
        <f ca="1">IF(AND(ISNUMBER(O150),O150&lt;=設定!$C$4),1,0)</f>
        <v>0</v>
      </c>
      <c r="V150" t="str">
        <f ca="1">IF(U150=1,SUM($U$10:U150),"")</f>
        <v/>
      </c>
    </row>
    <row r="151" spans="2:22">
      <c r="B151" s="8" t="str">
        <f>IF(C151="","",COUNT($C$10:C151))</f>
        <v/>
      </c>
      <c r="C151" s="20"/>
      <c r="D151" s="11"/>
      <c r="E151" s="9"/>
      <c r="F151" s="21" t="str">
        <f>IF(E151="","",IFERROR(INDEX(食材マスタ!$D$10:$D$309,MATCH(E151,食材マスタ!$C$10:$C$309,0)),"※コード未登録"))</f>
        <v/>
      </c>
      <c r="G151" s="16"/>
      <c r="H151" s="8" t="str">
        <f>IF(E151="","",IFERROR(INDEX(食材マスタ!$H$10:$H$309,MATCH(E151,食材マスタ!$C$10:$C$309,0)),""))</f>
        <v/>
      </c>
      <c r="I151" s="15" t="str">
        <f>IF(E151="","",IFERROR(INDEX(食材マスタ!$K$10:$K$309,MATCH(E151,食材マスタ!$C$10:$C$309,0)),""))</f>
        <v/>
      </c>
      <c r="J151" s="15" t="str">
        <f t="shared" si="10"/>
        <v/>
      </c>
      <c r="K151" s="20"/>
      <c r="L151" s="8" t="str">
        <f t="shared" si="11"/>
        <v/>
      </c>
      <c r="M151" s="9"/>
      <c r="N151" s="13" t="str">
        <f t="shared" si="12"/>
        <v/>
      </c>
      <c r="O151" s="22" t="str">
        <f t="shared" ca="1" si="13"/>
        <v/>
      </c>
      <c r="P151" s="17" t="str">
        <f t="shared" si="14"/>
        <v/>
      </c>
      <c r="Q151" s="11"/>
      <c r="R151" s="19"/>
      <c r="S151" s="19"/>
      <c r="U151">
        <f ca="1">IF(AND(ISNUMBER(O151),O151&lt;=設定!$C$4),1,0)</f>
        <v>0</v>
      </c>
      <c r="V151" t="str">
        <f ca="1">IF(U151=1,SUM($U$10:U151),"")</f>
        <v/>
      </c>
    </row>
    <row r="152" spans="2:22">
      <c r="B152" s="8" t="str">
        <f>IF(C152="","",COUNT($C$10:C152))</f>
        <v/>
      </c>
      <c r="C152" s="20"/>
      <c r="D152" s="11"/>
      <c r="E152" s="9"/>
      <c r="F152" s="21" t="str">
        <f>IF(E152="","",IFERROR(INDEX(食材マスタ!$D$10:$D$309,MATCH(E152,食材マスタ!$C$10:$C$309,0)),"※コード未登録"))</f>
        <v/>
      </c>
      <c r="G152" s="16"/>
      <c r="H152" s="8" t="str">
        <f>IF(E152="","",IFERROR(INDEX(食材マスタ!$H$10:$H$309,MATCH(E152,食材マスタ!$C$10:$C$309,0)),""))</f>
        <v/>
      </c>
      <c r="I152" s="15" t="str">
        <f>IF(E152="","",IFERROR(INDEX(食材マスタ!$K$10:$K$309,MATCH(E152,食材マスタ!$C$10:$C$309,0)),""))</f>
        <v/>
      </c>
      <c r="J152" s="15" t="str">
        <f t="shared" si="10"/>
        <v/>
      </c>
      <c r="K152" s="20"/>
      <c r="L152" s="8" t="str">
        <f t="shared" si="11"/>
        <v/>
      </c>
      <c r="M152" s="9"/>
      <c r="N152" s="13" t="str">
        <f t="shared" si="12"/>
        <v/>
      </c>
      <c r="O152" s="22" t="str">
        <f t="shared" ca="1" si="13"/>
        <v/>
      </c>
      <c r="P152" s="17" t="str">
        <f t="shared" si="14"/>
        <v/>
      </c>
      <c r="Q152" s="11"/>
      <c r="R152" s="19"/>
      <c r="S152" s="19"/>
      <c r="U152">
        <f ca="1">IF(AND(ISNUMBER(O152),O152&lt;=設定!$C$4),1,0)</f>
        <v>0</v>
      </c>
      <c r="V152" t="str">
        <f ca="1">IF(U152=1,SUM($U$10:U152),"")</f>
        <v/>
      </c>
    </row>
    <row r="153" spans="2:22">
      <c r="B153" s="8" t="str">
        <f>IF(C153="","",COUNT($C$10:C153))</f>
        <v/>
      </c>
      <c r="C153" s="20"/>
      <c r="D153" s="11"/>
      <c r="E153" s="9"/>
      <c r="F153" s="21" t="str">
        <f>IF(E153="","",IFERROR(INDEX(食材マスタ!$D$10:$D$309,MATCH(E153,食材マスタ!$C$10:$C$309,0)),"※コード未登録"))</f>
        <v/>
      </c>
      <c r="G153" s="16"/>
      <c r="H153" s="8" t="str">
        <f>IF(E153="","",IFERROR(INDEX(食材マスタ!$H$10:$H$309,MATCH(E153,食材マスタ!$C$10:$C$309,0)),""))</f>
        <v/>
      </c>
      <c r="I153" s="15" t="str">
        <f>IF(E153="","",IFERROR(INDEX(食材マスタ!$K$10:$K$309,MATCH(E153,食材マスタ!$C$10:$C$309,0)),""))</f>
        <v/>
      </c>
      <c r="J153" s="15" t="str">
        <f t="shared" si="10"/>
        <v/>
      </c>
      <c r="K153" s="20"/>
      <c r="L153" s="8" t="str">
        <f t="shared" si="11"/>
        <v/>
      </c>
      <c r="M153" s="9"/>
      <c r="N153" s="13" t="str">
        <f t="shared" si="12"/>
        <v/>
      </c>
      <c r="O153" s="22" t="str">
        <f t="shared" ca="1" si="13"/>
        <v/>
      </c>
      <c r="P153" s="17" t="str">
        <f t="shared" si="14"/>
        <v/>
      </c>
      <c r="Q153" s="11"/>
      <c r="R153" s="19"/>
      <c r="S153" s="19"/>
      <c r="U153">
        <f ca="1">IF(AND(ISNUMBER(O153),O153&lt;=設定!$C$4),1,0)</f>
        <v>0</v>
      </c>
      <c r="V153" t="str">
        <f ca="1">IF(U153=1,SUM($U$10:U153),"")</f>
        <v/>
      </c>
    </row>
    <row r="154" spans="2:22">
      <c r="B154" s="8" t="str">
        <f>IF(C154="","",COUNT($C$10:C154))</f>
        <v/>
      </c>
      <c r="C154" s="20"/>
      <c r="D154" s="11"/>
      <c r="E154" s="9"/>
      <c r="F154" s="21" t="str">
        <f>IF(E154="","",IFERROR(INDEX(食材マスタ!$D$10:$D$309,MATCH(E154,食材マスタ!$C$10:$C$309,0)),"※コード未登録"))</f>
        <v/>
      </c>
      <c r="G154" s="16"/>
      <c r="H154" s="8" t="str">
        <f>IF(E154="","",IFERROR(INDEX(食材マスタ!$H$10:$H$309,MATCH(E154,食材マスタ!$C$10:$C$309,0)),""))</f>
        <v/>
      </c>
      <c r="I154" s="15" t="str">
        <f>IF(E154="","",IFERROR(INDEX(食材マスタ!$K$10:$K$309,MATCH(E154,食材マスタ!$C$10:$C$309,0)),""))</f>
        <v/>
      </c>
      <c r="J154" s="15" t="str">
        <f t="shared" si="10"/>
        <v/>
      </c>
      <c r="K154" s="20"/>
      <c r="L154" s="8" t="str">
        <f t="shared" si="11"/>
        <v/>
      </c>
      <c r="M154" s="9"/>
      <c r="N154" s="13" t="str">
        <f t="shared" si="12"/>
        <v/>
      </c>
      <c r="O154" s="22" t="str">
        <f t="shared" ca="1" si="13"/>
        <v/>
      </c>
      <c r="P154" s="17" t="str">
        <f t="shared" si="14"/>
        <v/>
      </c>
      <c r="Q154" s="11"/>
      <c r="R154" s="19"/>
      <c r="S154" s="19"/>
      <c r="U154">
        <f ca="1">IF(AND(ISNUMBER(O154),O154&lt;=設定!$C$4),1,0)</f>
        <v>0</v>
      </c>
      <c r="V154" t="str">
        <f ca="1">IF(U154=1,SUM($U$10:U154),"")</f>
        <v/>
      </c>
    </row>
    <row r="155" spans="2:22">
      <c r="B155" s="8" t="str">
        <f>IF(C155="","",COUNT($C$10:C155))</f>
        <v/>
      </c>
      <c r="C155" s="20"/>
      <c r="D155" s="11"/>
      <c r="E155" s="9"/>
      <c r="F155" s="21" t="str">
        <f>IF(E155="","",IFERROR(INDEX(食材マスタ!$D$10:$D$309,MATCH(E155,食材マスタ!$C$10:$C$309,0)),"※コード未登録"))</f>
        <v/>
      </c>
      <c r="G155" s="16"/>
      <c r="H155" s="8" t="str">
        <f>IF(E155="","",IFERROR(INDEX(食材マスタ!$H$10:$H$309,MATCH(E155,食材マスタ!$C$10:$C$309,0)),""))</f>
        <v/>
      </c>
      <c r="I155" s="15" t="str">
        <f>IF(E155="","",IFERROR(INDEX(食材マスタ!$K$10:$K$309,MATCH(E155,食材マスタ!$C$10:$C$309,0)),""))</f>
        <v/>
      </c>
      <c r="J155" s="15" t="str">
        <f t="shared" si="10"/>
        <v/>
      </c>
      <c r="K155" s="20"/>
      <c r="L155" s="8" t="str">
        <f t="shared" si="11"/>
        <v/>
      </c>
      <c r="M155" s="9"/>
      <c r="N155" s="13" t="str">
        <f t="shared" si="12"/>
        <v/>
      </c>
      <c r="O155" s="22" t="str">
        <f t="shared" ca="1" si="13"/>
        <v/>
      </c>
      <c r="P155" s="17" t="str">
        <f t="shared" si="14"/>
        <v/>
      </c>
      <c r="Q155" s="11"/>
      <c r="R155" s="19"/>
      <c r="S155" s="19"/>
      <c r="U155">
        <f ca="1">IF(AND(ISNUMBER(O155),O155&lt;=設定!$C$4),1,0)</f>
        <v>0</v>
      </c>
      <c r="V155" t="str">
        <f ca="1">IF(U155=1,SUM($U$10:U155),"")</f>
        <v/>
      </c>
    </row>
    <row r="156" spans="2:22">
      <c r="B156" s="8" t="str">
        <f>IF(C156="","",COUNT($C$10:C156))</f>
        <v/>
      </c>
      <c r="C156" s="20"/>
      <c r="D156" s="11"/>
      <c r="E156" s="9"/>
      <c r="F156" s="21" t="str">
        <f>IF(E156="","",IFERROR(INDEX(食材マスタ!$D$10:$D$309,MATCH(E156,食材マスタ!$C$10:$C$309,0)),"※コード未登録"))</f>
        <v/>
      </c>
      <c r="G156" s="16"/>
      <c r="H156" s="8" t="str">
        <f>IF(E156="","",IFERROR(INDEX(食材マスタ!$H$10:$H$309,MATCH(E156,食材マスタ!$C$10:$C$309,0)),""))</f>
        <v/>
      </c>
      <c r="I156" s="15" t="str">
        <f>IF(E156="","",IFERROR(INDEX(食材マスタ!$K$10:$K$309,MATCH(E156,食材マスタ!$C$10:$C$309,0)),""))</f>
        <v/>
      </c>
      <c r="J156" s="15" t="str">
        <f t="shared" si="10"/>
        <v/>
      </c>
      <c r="K156" s="20"/>
      <c r="L156" s="8" t="str">
        <f t="shared" si="11"/>
        <v/>
      </c>
      <c r="M156" s="9"/>
      <c r="N156" s="13" t="str">
        <f t="shared" si="12"/>
        <v/>
      </c>
      <c r="O156" s="22" t="str">
        <f t="shared" ca="1" si="13"/>
        <v/>
      </c>
      <c r="P156" s="17" t="str">
        <f t="shared" si="14"/>
        <v/>
      </c>
      <c r="Q156" s="11"/>
      <c r="R156" s="19"/>
      <c r="S156" s="19"/>
      <c r="U156">
        <f ca="1">IF(AND(ISNUMBER(O156),O156&lt;=設定!$C$4),1,0)</f>
        <v>0</v>
      </c>
      <c r="V156" t="str">
        <f ca="1">IF(U156=1,SUM($U$10:U156),"")</f>
        <v/>
      </c>
    </row>
    <row r="157" spans="2:22">
      <c r="B157" s="8" t="str">
        <f>IF(C157="","",COUNT($C$10:C157))</f>
        <v/>
      </c>
      <c r="C157" s="20"/>
      <c r="D157" s="11"/>
      <c r="E157" s="9"/>
      <c r="F157" s="21" t="str">
        <f>IF(E157="","",IFERROR(INDEX(食材マスタ!$D$10:$D$309,MATCH(E157,食材マスタ!$C$10:$C$309,0)),"※コード未登録"))</f>
        <v/>
      </c>
      <c r="G157" s="16"/>
      <c r="H157" s="8" t="str">
        <f>IF(E157="","",IFERROR(INDEX(食材マスタ!$H$10:$H$309,MATCH(E157,食材マスタ!$C$10:$C$309,0)),""))</f>
        <v/>
      </c>
      <c r="I157" s="15" t="str">
        <f>IF(E157="","",IFERROR(INDEX(食材マスタ!$K$10:$K$309,MATCH(E157,食材マスタ!$C$10:$C$309,0)),""))</f>
        <v/>
      </c>
      <c r="J157" s="15" t="str">
        <f t="shared" si="10"/>
        <v/>
      </c>
      <c r="K157" s="20"/>
      <c r="L157" s="8" t="str">
        <f t="shared" si="11"/>
        <v/>
      </c>
      <c r="M157" s="9"/>
      <c r="N157" s="13" t="str">
        <f t="shared" si="12"/>
        <v/>
      </c>
      <c r="O157" s="22" t="str">
        <f t="shared" ca="1" si="13"/>
        <v/>
      </c>
      <c r="P157" s="17" t="str">
        <f t="shared" si="14"/>
        <v/>
      </c>
      <c r="Q157" s="11"/>
      <c r="R157" s="19"/>
      <c r="S157" s="19"/>
      <c r="U157">
        <f ca="1">IF(AND(ISNUMBER(O157),O157&lt;=設定!$C$4),1,0)</f>
        <v>0</v>
      </c>
      <c r="V157" t="str">
        <f ca="1">IF(U157=1,SUM($U$10:U157),"")</f>
        <v/>
      </c>
    </row>
    <row r="158" spans="2:22">
      <c r="B158" s="8" t="str">
        <f>IF(C158="","",COUNT($C$10:C158))</f>
        <v/>
      </c>
      <c r="C158" s="20"/>
      <c r="D158" s="11"/>
      <c r="E158" s="9"/>
      <c r="F158" s="21" t="str">
        <f>IF(E158="","",IFERROR(INDEX(食材マスタ!$D$10:$D$309,MATCH(E158,食材マスタ!$C$10:$C$309,0)),"※コード未登録"))</f>
        <v/>
      </c>
      <c r="G158" s="16"/>
      <c r="H158" s="8" t="str">
        <f>IF(E158="","",IFERROR(INDEX(食材マスタ!$H$10:$H$309,MATCH(E158,食材マスタ!$C$10:$C$309,0)),""))</f>
        <v/>
      </c>
      <c r="I158" s="15" t="str">
        <f>IF(E158="","",IFERROR(INDEX(食材マスタ!$K$10:$K$309,MATCH(E158,食材マスタ!$C$10:$C$309,0)),""))</f>
        <v/>
      </c>
      <c r="J158" s="15" t="str">
        <f t="shared" si="10"/>
        <v/>
      </c>
      <c r="K158" s="20"/>
      <c r="L158" s="8" t="str">
        <f t="shared" si="11"/>
        <v/>
      </c>
      <c r="M158" s="9"/>
      <c r="N158" s="13" t="str">
        <f t="shared" si="12"/>
        <v/>
      </c>
      <c r="O158" s="22" t="str">
        <f t="shared" ca="1" si="13"/>
        <v/>
      </c>
      <c r="P158" s="17" t="str">
        <f t="shared" si="14"/>
        <v/>
      </c>
      <c r="Q158" s="11"/>
      <c r="R158" s="19"/>
      <c r="S158" s="19"/>
      <c r="U158">
        <f ca="1">IF(AND(ISNUMBER(O158),O158&lt;=設定!$C$4),1,0)</f>
        <v>0</v>
      </c>
      <c r="V158" t="str">
        <f ca="1">IF(U158=1,SUM($U$10:U158),"")</f>
        <v/>
      </c>
    </row>
    <row r="159" spans="2:22">
      <c r="B159" s="8" t="str">
        <f>IF(C159="","",COUNT($C$10:C159))</f>
        <v/>
      </c>
      <c r="C159" s="20"/>
      <c r="D159" s="11"/>
      <c r="E159" s="9"/>
      <c r="F159" s="21" t="str">
        <f>IF(E159="","",IFERROR(INDEX(食材マスタ!$D$10:$D$309,MATCH(E159,食材マスタ!$C$10:$C$309,0)),"※コード未登録"))</f>
        <v/>
      </c>
      <c r="G159" s="16"/>
      <c r="H159" s="8" t="str">
        <f>IF(E159="","",IFERROR(INDEX(食材マスタ!$H$10:$H$309,MATCH(E159,食材マスタ!$C$10:$C$309,0)),""))</f>
        <v/>
      </c>
      <c r="I159" s="15" t="str">
        <f>IF(E159="","",IFERROR(INDEX(食材マスタ!$K$10:$K$309,MATCH(E159,食材マスタ!$C$10:$C$309,0)),""))</f>
        <v/>
      </c>
      <c r="J159" s="15" t="str">
        <f t="shared" si="10"/>
        <v/>
      </c>
      <c r="K159" s="20"/>
      <c r="L159" s="8" t="str">
        <f t="shared" si="11"/>
        <v/>
      </c>
      <c r="M159" s="9"/>
      <c r="N159" s="13" t="str">
        <f t="shared" si="12"/>
        <v/>
      </c>
      <c r="O159" s="22" t="str">
        <f t="shared" ca="1" si="13"/>
        <v/>
      </c>
      <c r="P159" s="17" t="str">
        <f t="shared" si="14"/>
        <v/>
      </c>
      <c r="Q159" s="11"/>
      <c r="R159" s="19"/>
      <c r="S159" s="19"/>
      <c r="U159">
        <f ca="1">IF(AND(ISNUMBER(O159),O159&lt;=設定!$C$4),1,0)</f>
        <v>0</v>
      </c>
      <c r="V159" t="str">
        <f ca="1">IF(U159=1,SUM($U$10:U159),"")</f>
        <v/>
      </c>
    </row>
    <row r="160" spans="2:22">
      <c r="B160" s="8" t="str">
        <f>IF(C160="","",COUNT($C$10:C160))</f>
        <v/>
      </c>
      <c r="C160" s="20"/>
      <c r="D160" s="11"/>
      <c r="E160" s="9"/>
      <c r="F160" s="21" t="str">
        <f>IF(E160="","",IFERROR(INDEX(食材マスタ!$D$10:$D$309,MATCH(E160,食材マスタ!$C$10:$C$309,0)),"※コード未登録"))</f>
        <v/>
      </c>
      <c r="G160" s="16"/>
      <c r="H160" s="8" t="str">
        <f>IF(E160="","",IFERROR(INDEX(食材マスタ!$H$10:$H$309,MATCH(E160,食材マスタ!$C$10:$C$309,0)),""))</f>
        <v/>
      </c>
      <c r="I160" s="15" t="str">
        <f>IF(E160="","",IFERROR(INDEX(食材マスタ!$K$10:$K$309,MATCH(E160,食材マスタ!$C$10:$C$309,0)),""))</f>
        <v/>
      </c>
      <c r="J160" s="15" t="str">
        <f t="shared" si="10"/>
        <v/>
      </c>
      <c r="K160" s="20"/>
      <c r="L160" s="8" t="str">
        <f t="shared" si="11"/>
        <v/>
      </c>
      <c r="M160" s="9"/>
      <c r="N160" s="13" t="str">
        <f t="shared" si="12"/>
        <v/>
      </c>
      <c r="O160" s="22" t="str">
        <f t="shared" ca="1" si="13"/>
        <v/>
      </c>
      <c r="P160" s="17" t="str">
        <f t="shared" si="14"/>
        <v/>
      </c>
      <c r="Q160" s="11"/>
      <c r="R160" s="19"/>
      <c r="S160" s="19"/>
      <c r="U160">
        <f ca="1">IF(AND(ISNUMBER(O160),O160&lt;=設定!$C$4),1,0)</f>
        <v>0</v>
      </c>
      <c r="V160" t="str">
        <f ca="1">IF(U160=1,SUM($U$10:U160),"")</f>
        <v/>
      </c>
    </row>
    <row r="161" spans="2:22">
      <c r="B161" s="8" t="str">
        <f>IF(C161="","",COUNT($C$10:C161))</f>
        <v/>
      </c>
      <c r="C161" s="20"/>
      <c r="D161" s="11"/>
      <c r="E161" s="9"/>
      <c r="F161" s="21" t="str">
        <f>IF(E161="","",IFERROR(INDEX(食材マスタ!$D$10:$D$309,MATCH(E161,食材マスタ!$C$10:$C$309,0)),"※コード未登録"))</f>
        <v/>
      </c>
      <c r="G161" s="16"/>
      <c r="H161" s="8" t="str">
        <f>IF(E161="","",IFERROR(INDEX(食材マスタ!$H$10:$H$309,MATCH(E161,食材マスタ!$C$10:$C$309,0)),""))</f>
        <v/>
      </c>
      <c r="I161" s="15" t="str">
        <f>IF(E161="","",IFERROR(INDEX(食材マスタ!$K$10:$K$309,MATCH(E161,食材マスタ!$C$10:$C$309,0)),""))</f>
        <v/>
      </c>
      <c r="J161" s="15" t="str">
        <f t="shared" si="10"/>
        <v/>
      </c>
      <c r="K161" s="20"/>
      <c r="L161" s="8" t="str">
        <f t="shared" si="11"/>
        <v/>
      </c>
      <c r="M161" s="9"/>
      <c r="N161" s="13" t="str">
        <f t="shared" si="12"/>
        <v/>
      </c>
      <c r="O161" s="22" t="str">
        <f t="shared" ca="1" si="13"/>
        <v/>
      </c>
      <c r="P161" s="17" t="str">
        <f t="shared" si="14"/>
        <v/>
      </c>
      <c r="Q161" s="11"/>
      <c r="R161" s="19"/>
      <c r="S161" s="19"/>
      <c r="U161">
        <f ca="1">IF(AND(ISNUMBER(O161),O161&lt;=設定!$C$4),1,0)</f>
        <v>0</v>
      </c>
      <c r="V161" t="str">
        <f ca="1">IF(U161=1,SUM($U$10:U161),"")</f>
        <v/>
      </c>
    </row>
    <row r="162" spans="2:22">
      <c r="B162" s="8" t="str">
        <f>IF(C162="","",COUNT($C$10:C162))</f>
        <v/>
      </c>
      <c r="C162" s="20"/>
      <c r="D162" s="11"/>
      <c r="E162" s="9"/>
      <c r="F162" s="21" t="str">
        <f>IF(E162="","",IFERROR(INDEX(食材マスタ!$D$10:$D$309,MATCH(E162,食材マスタ!$C$10:$C$309,0)),"※コード未登録"))</f>
        <v/>
      </c>
      <c r="G162" s="16"/>
      <c r="H162" s="8" t="str">
        <f>IF(E162="","",IFERROR(INDEX(食材マスタ!$H$10:$H$309,MATCH(E162,食材マスタ!$C$10:$C$309,0)),""))</f>
        <v/>
      </c>
      <c r="I162" s="15" t="str">
        <f>IF(E162="","",IFERROR(INDEX(食材マスタ!$K$10:$K$309,MATCH(E162,食材マスタ!$C$10:$C$309,0)),""))</f>
        <v/>
      </c>
      <c r="J162" s="15" t="str">
        <f t="shared" si="10"/>
        <v/>
      </c>
      <c r="K162" s="20"/>
      <c r="L162" s="8" t="str">
        <f t="shared" si="11"/>
        <v/>
      </c>
      <c r="M162" s="9"/>
      <c r="N162" s="13" t="str">
        <f t="shared" si="12"/>
        <v/>
      </c>
      <c r="O162" s="22" t="str">
        <f t="shared" ca="1" si="13"/>
        <v/>
      </c>
      <c r="P162" s="17" t="str">
        <f t="shared" si="14"/>
        <v/>
      </c>
      <c r="Q162" s="11"/>
      <c r="R162" s="19"/>
      <c r="S162" s="19"/>
      <c r="U162">
        <f ca="1">IF(AND(ISNUMBER(O162),O162&lt;=設定!$C$4),1,0)</f>
        <v>0</v>
      </c>
      <c r="V162" t="str">
        <f ca="1">IF(U162=1,SUM($U$10:U162),"")</f>
        <v/>
      </c>
    </row>
    <row r="163" spans="2:22">
      <c r="B163" s="8" t="str">
        <f>IF(C163="","",COUNT($C$10:C163))</f>
        <v/>
      </c>
      <c r="C163" s="20"/>
      <c r="D163" s="11"/>
      <c r="E163" s="9"/>
      <c r="F163" s="21" t="str">
        <f>IF(E163="","",IFERROR(INDEX(食材マスタ!$D$10:$D$309,MATCH(E163,食材マスタ!$C$10:$C$309,0)),"※コード未登録"))</f>
        <v/>
      </c>
      <c r="G163" s="16"/>
      <c r="H163" s="8" t="str">
        <f>IF(E163="","",IFERROR(INDEX(食材マスタ!$H$10:$H$309,MATCH(E163,食材マスタ!$C$10:$C$309,0)),""))</f>
        <v/>
      </c>
      <c r="I163" s="15" t="str">
        <f>IF(E163="","",IFERROR(INDEX(食材マスタ!$K$10:$K$309,MATCH(E163,食材マスタ!$C$10:$C$309,0)),""))</f>
        <v/>
      </c>
      <c r="J163" s="15" t="str">
        <f t="shared" si="10"/>
        <v/>
      </c>
      <c r="K163" s="20"/>
      <c r="L163" s="8" t="str">
        <f t="shared" si="11"/>
        <v/>
      </c>
      <c r="M163" s="9"/>
      <c r="N163" s="13" t="str">
        <f t="shared" si="12"/>
        <v/>
      </c>
      <c r="O163" s="22" t="str">
        <f t="shared" ca="1" si="13"/>
        <v/>
      </c>
      <c r="P163" s="17" t="str">
        <f t="shared" si="14"/>
        <v/>
      </c>
      <c r="Q163" s="11"/>
      <c r="R163" s="19"/>
      <c r="S163" s="19"/>
      <c r="U163">
        <f ca="1">IF(AND(ISNUMBER(O163),O163&lt;=設定!$C$4),1,0)</f>
        <v>0</v>
      </c>
      <c r="V163" t="str">
        <f ca="1">IF(U163=1,SUM($U$10:U163),"")</f>
        <v/>
      </c>
    </row>
    <row r="164" spans="2:22">
      <c r="B164" s="8" t="str">
        <f>IF(C164="","",COUNT($C$10:C164))</f>
        <v/>
      </c>
      <c r="C164" s="20"/>
      <c r="D164" s="11"/>
      <c r="E164" s="9"/>
      <c r="F164" s="21" t="str">
        <f>IF(E164="","",IFERROR(INDEX(食材マスタ!$D$10:$D$309,MATCH(E164,食材マスタ!$C$10:$C$309,0)),"※コード未登録"))</f>
        <v/>
      </c>
      <c r="G164" s="16"/>
      <c r="H164" s="8" t="str">
        <f>IF(E164="","",IFERROR(INDEX(食材マスタ!$H$10:$H$309,MATCH(E164,食材マスタ!$C$10:$C$309,0)),""))</f>
        <v/>
      </c>
      <c r="I164" s="15" t="str">
        <f>IF(E164="","",IFERROR(INDEX(食材マスタ!$K$10:$K$309,MATCH(E164,食材マスタ!$C$10:$C$309,0)),""))</f>
        <v/>
      </c>
      <c r="J164" s="15" t="str">
        <f t="shared" si="10"/>
        <v/>
      </c>
      <c r="K164" s="20"/>
      <c r="L164" s="8" t="str">
        <f t="shared" si="11"/>
        <v/>
      </c>
      <c r="M164" s="9"/>
      <c r="N164" s="13" t="str">
        <f t="shared" si="12"/>
        <v/>
      </c>
      <c r="O164" s="22" t="str">
        <f t="shared" ca="1" si="13"/>
        <v/>
      </c>
      <c r="P164" s="17" t="str">
        <f t="shared" si="14"/>
        <v/>
      </c>
      <c r="Q164" s="11"/>
      <c r="R164" s="19"/>
      <c r="S164" s="19"/>
      <c r="U164">
        <f ca="1">IF(AND(ISNUMBER(O164),O164&lt;=設定!$C$4),1,0)</f>
        <v>0</v>
      </c>
      <c r="V164" t="str">
        <f ca="1">IF(U164=1,SUM($U$10:U164),"")</f>
        <v/>
      </c>
    </row>
    <row r="165" spans="2:22">
      <c r="B165" s="8" t="str">
        <f>IF(C165="","",COUNT($C$10:C165))</f>
        <v/>
      </c>
      <c r="C165" s="20"/>
      <c r="D165" s="11"/>
      <c r="E165" s="9"/>
      <c r="F165" s="21" t="str">
        <f>IF(E165="","",IFERROR(INDEX(食材マスタ!$D$10:$D$309,MATCH(E165,食材マスタ!$C$10:$C$309,0)),"※コード未登録"))</f>
        <v/>
      </c>
      <c r="G165" s="16"/>
      <c r="H165" s="8" t="str">
        <f>IF(E165="","",IFERROR(INDEX(食材マスタ!$H$10:$H$309,MATCH(E165,食材マスタ!$C$10:$C$309,0)),""))</f>
        <v/>
      </c>
      <c r="I165" s="15" t="str">
        <f>IF(E165="","",IFERROR(INDEX(食材マスタ!$K$10:$K$309,MATCH(E165,食材マスタ!$C$10:$C$309,0)),""))</f>
        <v/>
      </c>
      <c r="J165" s="15" t="str">
        <f t="shared" si="10"/>
        <v/>
      </c>
      <c r="K165" s="20"/>
      <c r="L165" s="8" t="str">
        <f t="shared" si="11"/>
        <v/>
      </c>
      <c r="M165" s="9"/>
      <c r="N165" s="13" t="str">
        <f t="shared" si="12"/>
        <v/>
      </c>
      <c r="O165" s="22" t="str">
        <f t="shared" ca="1" si="13"/>
        <v/>
      </c>
      <c r="P165" s="17" t="str">
        <f t="shared" si="14"/>
        <v/>
      </c>
      <c r="Q165" s="11"/>
      <c r="R165" s="19"/>
      <c r="S165" s="19"/>
      <c r="U165">
        <f ca="1">IF(AND(ISNUMBER(O165),O165&lt;=設定!$C$4),1,0)</f>
        <v>0</v>
      </c>
      <c r="V165" t="str">
        <f ca="1">IF(U165=1,SUM($U$10:U165),"")</f>
        <v/>
      </c>
    </row>
    <row r="166" spans="2:22">
      <c r="B166" s="8" t="str">
        <f>IF(C166="","",COUNT($C$10:C166))</f>
        <v/>
      </c>
      <c r="C166" s="20"/>
      <c r="D166" s="11"/>
      <c r="E166" s="9"/>
      <c r="F166" s="21" t="str">
        <f>IF(E166="","",IFERROR(INDEX(食材マスタ!$D$10:$D$309,MATCH(E166,食材マスタ!$C$10:$C$309,0)),"※コード未登録"))</f>
        <v/>
      </c>
      <c r="G166" s="16"/>
      <c r="H166" s="8" t="str">
        <f>IF(E166="","",IFERROR(INDEX(食材マスタ!$H$10:$H$309,MATCH(E166,食材マスタ!$C$10:$C$309,0)),""))</f>
        <v/>
      </c>
      <c r="I166" s="15" t="str">
        <f>IF(E166="","",IFERROR(INDEX(食材マスタ!$K$10:$K$309,MATCH(E166,食材マスタ!$C$10:$C$309,0)),""))</f>
        <v/>
      </c>
      <c r="J166" s="15" t="str">
        <f t="shared" si="10"/>
        <v/>
      </c>
      <c r="K166" s="20"/>
      <c r="L166" s="8" t="str">
        <f t="shared" si="11"/>
        <v/>
      </c>
      <c r="M166" s="9"/>
      <c r="N166" s="13" t="str">
        <f t="shared" si="12"/>
        <v/>
      </c>
      <c r="O166" s="22" t="str">
        <f t="shared" ca="1" si="13"/>
        <v/>
      </c>
      <c r="P166" s="17" t="str">
        <f t="shared" si="14"/>
        <v/>
      </c>
      <c r="Q166" s="11"/>
      <c r="R166" s="19"/>
      <c r="S166" s="19"/>
      <c r="U166">
        <f ca="1">IF(AND(ISNUMBER(O166),O166&lt;=設定!$C$4),1,0)</f>
        <v>0</v>
      </c>
      <c r="V166" t="str">
        <f ca="1">IF(U166=1,SUM($U$10:U166),"")</f>
        <v/>
      </c>
    </row>
    <row r="167" spans="2:22">
      <c r="B167" s="8" t="str">
        <f>IF(C167="","",COUNT($C$10:C167))</f>
        <v/>
      </c>
      <c r="C167" s="20"/>
      <c r="D167" s="11"/>
      <c r="E167" s="9"/>
      <c r="F167" s="21" t="str">
        <f>IF(E167="","",IFERROR(INDEX(食材マスタ!$D$10:$D$309,MATCH(E167,食材マスタ!$C$10:$C$309,0)),"※コード未登録"))</f>
        <v/>
      </c>
      <c r="G167" s="16"/>
      <c r="H167" s="8" t="str">
        <f>IF(E167="","",IFERROR(INDEX(食材マスタ!$H$10:$H$309,MATCH(E167,食材マスタ!$C$10:$C$309,0)),""))</f>
        <v/>
      </c>
      <c r="I167" s="15" t="str">
        <f>IF(E167="","",IFERROR(INDEX(食材マスタ!$K$10:$K$309,MATCH(E167,食材マスタ!$C$10:$C$309,0)),""))</f>
        <v/>
      </c>
      <c r="J167" s="15" t="str">
        <f t="shared" si="10"/>
        <v/>
      </c>
      <c r="K167" s="20"/>
      <c r="L167" s="8" t="str">
        <f t="shared" si="11"/>
        <v/>
      </c>
      <c r="M167" s="9"/>
      <c r="N167" s="13" t="str">
        <f t="shared" si="12"/>
        <v/>
      </c>
      <c r="O167" s="22" t="str">
        <f t="shared" ca="1" si="13"/>
        <v/>
      </c>
      <c r="P167" s="17" t="str">
        <f t="shared" si="14"/>
        <v/>
      </c>
      <c r="Q167" s="11"/>
      <c r="R167" s="19"/>
      <c r="S167" s="19"/>
      <c r="U167">
        <f ca="1">IF(AND(ISNUMBER(O167),O167&lt;=設定!$C$4),1,0)</f>
        <v>0</v>
      </c>
      <c r="V167" t="str">
        <f ca="1">IF(U167=1,SUM($U$10:U167),"")</f>
        <v/>
      </c>
    </row>
    <row r="168" spans="2:22">
      <c r="B168" s="8" t="str">
        <f>IF(C168="","",COUNT($C$10:C168))</f>
        <v/>
      </c>
      <c r="C168" s="20"/>
      <c r="D168" s="11"/>
      <c r="E168" s="9"/>
      <c r="F168" s="21" t="str">
        <f>IF(E168="","",IFERROR(INDEX(食材マスタ!$D$10:$D$309,MATCH(E168,食材マスタ!$C$10:$C$309,0)),"※コード未登録"))</f>
        <v/>
      </c>
      <c r="G168" s="16"/>
      <c r="H168" s="8" t="str">
        <f>IF(E168="","",IFERROR(INDEX(食材マスタ!$H$10:$H$309,MATCH(E168,食材マスタ!$C$10:$C$309,0)),""))</f>
        <v/>
      </c>
      <c r="I168" s="15" t="str">
        <f>IF(E168="","",IFERROR(INDEX(食材マスタ!$K$10:$K$309,MATCH(E168,食材マスタ!$C$10:$C$309,0)),""))</f>
        <v/>
      </c>
      <c r="J168" s="15" t="str">
        <f t="shared" si="10"/>
        <v/>
      </c>
      <c r="K168" s="20"/>
      <c r="L168" s="8" t="str">
        <f t="shared" si="11"/>
        <v/>
      </c>
      <c r="M168" s="9"/>
      <c r="N168" s="13" t="str">
        <f t="shared" si="12"/>
        <v/>
      </c>
      <c r="O168" s="22" t="str">
        <f t="shared" ca="1" si="13"/>
        <v/>
      </c>
      <c r="P168" s="17" t="str">
        <f t="shared" si="14"/>
        <v/>
      </c>
      <c r="Q168" s="11"/>
      <c r="R168" s="19"/>
      <c r="S168" s="19"/>
      <c r="U168">
        <f ca="1">IF(AND(ISNUMBER(O168),O168&lt;=設定!$C$4),1,0)</f>
        <v>0</v>
      </c>
      <c r="V168" t="str">
        <f ca="1">IF(U168=1,SUM($U$10:U168),"")</f>
        <v/>
      </c>
    </row>
    <row r="169" spans="2:22">
      <c r="B169" s="8" t="str">
        <f>IF(C169="","",COUNT($C$10:C169))</f>
        <v/>
      </c>
      <c r="C169" s="20"/>
      <c r="D169" s="11"/>
      <c r="E169" s="9"/>
      <c r="F169" s="21" t="str">
        <f>IF(E169="","",IFERROR(INDEX(食材マスタ!$D$10:$D$309,MATCH(E169,食材マスタ!$C$10:$C$309,0)),"※コード未登録"))</f>
        <v/>
      </c>
      <c r="G169" s="16"/>
      <c r="H169" s="8" t="str">
        <f>IF(E169="","",IFERROR(INDEX(食材マスタ!$H$10:$H$309,MATCH(E169,食材マスタ!$C$10:$C$309,0)),""))</f>
        <v/>
      </c>
      <c r="I169" s="15" t="str">
        <f>IF(E169="","",IFERROR(INDEX(食材マスタ!$K$10:$K$309,MATCH(E169,食材マスタ!$C$10:$C$309,0)),""))</f>
        <v/>
      </c>
      <c r="J169" s="15" t="str">
        <f t="shared" si="10"/>
        <v/>
      </c>
      <c r="K169" s="20"/>
      <c r="L169" s="8" t="str">
        <f t="shared" si="11"/>
        <v/>
      </c>
      <c r="M169" s="9"/>
      <c r="N169" s="13" t="str">
        <f t="shared" si="12"/>
        <v/>
      </c>
      <c r="O169" s="22" t="str">
        <f t="shared" ca="1" si="13"/>
        <v/>
      </c>
      <c r="P169" s="17" t="str">
        <f t="shared" si="14"/>
        <v/>
      </c>
      <c r="Q169" s="11"/>
      <c r="R169" s="19"/>
      <c r="S169" s="19"/>
      <c r="U169">
        <f ca="1">IF(AND(ISNUMBER(O169),O169&lt;=設定!$C$4),1,0)</f>
        <v>0</v>
      </c>
      <c r="V169" t="str">
        <f ca="1">IF(U169=1,SUM($U$10:U169),"")</f>
        <v/>
      </c>
    </row>
    <row r="170" spans="2:22">
      <c r="B170" s="8" t="str">
        <f>IF(C170="","",COUNT($C$10:C170))</f>
        <v/>
      </c>
      <c r="C170" s="20"/>
      <c r="D170" s="11"/>
      <c r="E170" s="9"/>
      <c r="F170" s="21" t="str">
        <f>IF(E170="","",IFERROR(INDEX(食材マスタ!$D$10:$D$309,MATCH(E170,食材マスタ!$C$10:$C$309,0)),"※コード未登録"))</f>
        <v/>
      </c>
      <c r="G170" s="16"/>
      <c r="H170" s="8" t="str">
        <f>IF(E170="","",IFERROR(INDEX(食材マスタ!$H$10:$H$309,MATCH(E170,食材マスタ!$C$10:$C$309,0)),""))</f>
        <v/>
      </c>
      <c r="I170" s="15" t="str">
        <f>IF(E170="","",IFERROR(INDEX(食材マスタ!$K$10:$K$309,MATCH(E170,食材マスタ!$C$10:$C$309,0)),""))</f>
        <v/>
      </c>
      <c r="J170" s="15" t="str">
        <f t="shared" si="10"/>
        <v/>
      </c>
      <c r="K170" s="20"/>
      <c r="L170" s="8" t="str">
        <f t="shared" si="11"/>
        <v/>
      </c>
      <c r="M170" s="9"/>
      <c r="N170" s="13" t="str">
        <f t="shared" si="12"/>
        <v/>
      </c>
      <c r="O170" s="22" t="str">
        <f t="shared" ca="1" si="13"/>
        <v/>
      </c>
      <c r="P170" s="17" t="str">
        <f t="shared" si="14"/>
        <v/>
      </c>
      <c r="Q170" s="11"/>
      <c r="R170" s="19"/>
      <c r="S170" s="19"/>
      <c r="U170">
        <f ca="1">IF(AND(ISNUMBER(O170),O170&lt;=設定!$C$4),1,0)</f>
        <v>0</v>
      </c>
      <c r="V170" t="str">
        <f ca="1">IF(U170=1,SUM($U$10:U170),"")</f>
        <v/>
      </c>
    </row>
    <row r="171" spans="2:22">
      <c r="B171" s="8" t="str">
        <f>IF(C171="","",COUNT($C$10:C171))</f>
        <v/>
      </c>
      <c r="C171" s="20"/>
      <c r="D171" s="11"/>
      <c r="E171" s="9"/>
      <c r="F171" s="21" t="str">
        <f>IF(E171="","",IFERROR(INDEX(食材マスタ!$D$10:$D$309,MATCH(E171,食材マスタ!$C$10:$C$309,0)),"※コード未登録"))</f>
        <v/>
      </c>
      <c r="G171" s="16"/>
      <c r="H171" s="8" t="str">
        <f>IF(E171="","",IFERROR(INDEX(食材マスタ!$H$10:$H$309,MATCH(E171,食材マスタ!$C$10:$C$309,0)),""))</f>
        <v/>
      </c>
      <c r="I171" s="15" t="str">
        <f>IF(E171="","",IFERROR(INDEX(食材マスタ!$K$10:$K$309,MATCH(E171,食材マスタ!$C$10:$C$309,0)),""))</f>
        <v/>
      </c>
      <c r="J171" s="15" t="str">
        <f t="shared" si="10"/>
        <v/>
      </c>
      <c r="K171" s="20"/>
      <c r="L171" s="8" t="str">
        <f t="shared" si="11"/>
        <v/>
      </c>
      <c r="M171" s="9"/>
      <c r="N171" s="13" t="str">
        <f t="shared" si="12"/>
        <v/>
      </c>
      <c r="O171" s="22" t="str">
        <f t="shared" ca="1" si="13"/>
        <v/>
      </c>
      <c r="P171" s="17" t="str">
        <f t="shared" si="14"/>
        <v/>
      </c>
      <c r="Q171" s="11"/>
      <c r="R171" s="19"/>
      <c r="S171" s="19"/>
      <c r="U171">
        <f ca="1">IF(AND(ISNUMBER(O171),O171&lt;=設定!$C$4),1,0)</f>
        <v>0</v>
      </c>
      <c r="V171" t="str">
        <f ca="1">IF(U171=1,SUM($U$10:U171),"")</f>
        <v/>
      </c>
    </row>
    <row r="172" spans="2:22">
      <c r="B172" s="8" t="str">
        <f>IF(C172="","",COUNT($C$10:C172))</f>
        <v/>
      </c>
      <c r="C172" s="20"/>
      <c r="D172" s="11"/>
      <c r="E172" s="9"/>
      <c r="F172" s="21" t="str">
        <f>IF(E172="","",IFERROR(INDEX(食材マスタ!$D$10:$D$309,MATCH(E172,食材マスタ!$C$10:$C$309,0)),"※コード未登録"))</f>
        <v/>
      </c>
      <c r="G172" s="16"/>
      <c r="H172" s="8" t="str">
        <f>IF(E172="","",IFERROR(INDEX(食材マスタ!$H$10:$H$309,MATCH(E172,食材マスタ!$C$10:$C$309,0)),""))</f>
        <v/>
      </c>
      <c r="I172" s="15" t="str">
        <f>IF(E172="","",IFERROR(INDEX(食材マスタ!$K$10:$K$309,MATCH(E172,食材マスタ!$C$10:$C$309,0)),""))</f>
        <v/>
      </c>
      <c r="J172" s="15" t="str">
        <f t="shared" si="10"/>
        <v/>
      </c>
      <c r="K172" s="20"/>
      <c r="L172" s="8" t="str">
        <f t="shared" si="11"/>
        <v/>
      </c>
      <c r="M172" s="9"/>
      <c r="N172" s="13" t="str">
        <f t="shared" si="12"/>
        <v/>
      </c>
      <c r="O172" s="22" t="str">
        <f t="shared" ca="1" si="13"/>
        <v/>
      </c>
      <c r="P172" s="17" t="str">
        <f t="shared" si="14"/>
        <v/>
      </c>
      <c r="Q172" s="11"/>
      <c r="R172" s="19"/>
      <c r="S172" s="19"/>
      <c r="U172">
        <f ca="1">IF(AND(ISNUMBER(O172),O172&lt;=設定!$C$4),1,0)</f>
        <v>0</v>
      </c>
      <c r="V172" t="str">
        <f ca="1">IF(U172=1,SUM($U$10:U172),"")</f>
        <v/>
      </c>
    </row>
    <row r="173" spans="2:22">
      <c r="B173" s="8" t="str">
        <f>IF(C173="","",COUNT($C$10:C173))</f>
        <v/>
      </c>
      <c r="C173" s="20"/>
      <c r="D173" s="11"/>
      <c r="E173" s="9"/>
      <c r="F173" s="21" t="str">
        <f>IF(E173="","",IFERROR(INDEX(食材マスタ!$D$10:$D$309,MATCH(E173,食材マスタ!$C$10:$C$309,0)),"※コード未登録"))</f>
        <v/>
      </c>
      <c r="G173" s="16"/>
      <c r="H173" s="8" t="str">
        <f>IF(E173="","",IFERROR(INDEX(食材マスタ!$H$10:$H$309,MATCH(E173,食材マスタ!$C$10:$C$309,0)),""))</f>
        <v/>
      </c>
      <c r="I173" s="15" t="str">
        <f>IF(E173="","",IFERROR(INDEX(食材マスタ!$K$10:$K$309,MATCH(E173,食材マスタ!$C$10:$C$309,0)),""))</f>
        <v/>
      </c>
      <c r="J173" s="15" t="str">
        <f t="shared" si="10"/>
        <v/>
      </c>
      <c r="K173" s="20"/>
      <c r="L173" s="8" t="str">
        <f t="shared" si="11"/>
        <v/>
      </c>
      <c r="M173" s="9"/>
      <c r="N173" s="13" t="str">
        <f t="shared" si="12"/>
        <v/>
      </c>
      <c r="O173" s="22" t="str">
        <f t="shared" ca="1" si="13"/>
        <v/>
      </c>
      <c r="P173" s="17" t="str">
        <f t="shared" si="14"/>
        <v/>
      </c>
      <c r="Q173" s="11"/>
      <c r="R173" s="19"/>
      <c r="S173" s="19"/>
      <c r="U173">
        <f ca="1">IF(AND(ISNUMBER(O173),O173&lt;=設定!$C$4),1,0)</f>
        <v>0</v>
      </c>
      <c r="V173" t="str">
        <f ca="1">IF(U173=1,SUM($U$10:U173),"")</f>
        <v/>
      </c>
    </row>
    <row r="174" spans="2:22">
      <c r="B174" s="8" t="str">
        <f>IF(C174="","",COUNT($C$10:C174))</f>
        <v/>
      </c>
      <c r="C174" s="20"/>
      <c r="D174" s="11"/>
      <c r="E174" s="9"/>
      <c r="F174" s="21" t="str">
        <f>IF(E174="","",IFERROR(INDEX(食材マスタ!$D$10:$D$309,MATCH(E174,食材マスタ!$C$10:$C$309,0)),"※コード未登録"))</f>
        <v/>
      </c>
      <c r="G174" s="16"/>
      <c r="H174" s="8" t="str">
        <f>IF(E174="","",IFERROR(INDEX(食材マスタ!$H$10:$H$309,MATCH(E174,食材マスタ!$C$10:$C$309,0)),""))</f>
        <v/>
      </c>
      <c r="I174" s="15" t="str">
        <f>IF(E174="","",IFERROR(INDEX(食材マスタ!$K$10:$K$309,MATCH(E174,食材マスタ!$C$10:$C$309,0)),""))</f>
        <v/>
      </c>
      <c r="J174" s="15" t="str">
        <f t="shared" si="10"/>
        <v/>
      </c>
      <c r="K174" s="20"/>
      <c r="L174" s="8" t="str">
        <f t="shared" si="11"/>
        <v/>
      </c>
      <c r="M174" s="9"/>
      <c r="N174" s="13" t="str">
        <f t="shared" si="12"/>
        <v/>
      </c>
      <c r="O174" s="22" t="str">
        <f t="shared" ca="1" si="13"/>
        <v/>
      </c>
      <c r="P174" s="17" t="str">
        <f t="shared" si="14"/>
        <v/>
      </c>
      <c r="Q174" s="11"/>
      <c r="R174" s="19"/>
      <c r="S174" s="19"/>
      <c r="U174">
        <f ca="1">IF(AND(ISNUMBER(O174),O174&lt;=設定!$C$4),1,0)</f>
        <v>0</v>
      </c>
      <c r="V174" t="str">
        <f ca="1">IF(U174=1,SUM($U$10:U174),"")</f>
        <v/>
      </c>
    </row>
    <row r="175" spans="2:22">
      <c r="B175" s="8" t="str">
        <f>IF(C175="","",COUNT($C$10:C175))</f>
        <v/>
      </c>
      <c r="C175" s="20"/>
      <c r="D175" s="11"/>
      <c r="E175" s="9"/>
      <c r="F175" s="21" t="str">
        <f>IF(E175="","",IFERROR(INDEX(食材マスタ!$D$10:$D$309,MATCH(E175,食材マスタ!$C$10:$C$309,0)),"※コード未登録"))</f>
        <v/>
      </c>
      <c r="G175" s="16"/>
      <c r="H175" s="8" t="str">
        <f>IF(E175="","",IFERROR(INDEX(食材マスタ!$H$10:$H$309,MATCH(E175,食材マスタ!$C$10:$C$309,0)),""))</f>
        <v/>
      </c>
      <c r="I175" s="15" t="str">
        <f>IF(E175="","",IFERROR(INDEX(食材マスタ!$K$10:$K$309,MATCH(E175,食材マスタ!$C$10:$C$309,0)),""))</f>
        <v/>
      </c>
      <c r="J175" s="15" t="str">
        <f t="shared" si="10"/>
        <v/>
      </c>
      <c r="K175" s="20"/>
      <c r="L175" s="8" t="str">
        <f t="shared" si="11"/>
        <v/>
      </c>
      <c r="M175" s="9"/>
      <c r="N175" s="13" t="str">
        <f t="shared" si="12"/>
        <v/>
      </c>
      <c r="O175" s="22" t="str">
        <f t="shared" ca="1" si="13"/>
        <v/>
      </c>
      <c r="P175" s="17" t="str">
        <f t="shared" si="14"/>
        <v/>
      </c>
      <c r="Q175" s="11"/>
      <c r="R175" s="19"/>
      <c r="S175" s="19"/>
      <c r="U175">
        <f ca="1">IF(AND(ISNUMBER(O175),O175&lt;=設定!$C$4),1,0)</f>
        <v>0</v>
      </c>
      <c r="V175" t="str">
        <f ca="1">IF(U175=1,SUM($U$10:U175),"")</f>
        <v/>
      </c>
    </row>
    <row r="176" spans="2:22">
      <c r="B176" s="8" t="str">
        <f>IF(C176="","",COUNT($C$10:C176))</f>
        <v/>
      </c>
      <c r="C176" s="20"/>
      <c r="D176" s="11"/>
      <c r="E176" s="9"/>
      <c r="F176" s="21" t="str">
        <f>IF(E176="","",IFERROR(INDEX(食材マスタ!$D$10:$D$309,MATCH(E176,食材マスタ!$C$10:$C$309,0)),"※コード未登録"))</f>
        <v/>
      </c>
      <c r="G176" s="16"/>
      <c r="H176" s="8" t="str">
        <f>IF(E176="","",IFERROR(INDEX(食材マスタ!$H$10:$H$309,MATCH(E176,食材マスタ!$C$10:$C$309,0)),""))</f>
        <v/>
      </c>
      <c r="I176" s="15" t="str">
        <f>IF(E176="","",IFERROR(INDEX(食材マスタ!$K$10:$K$309,MATCH(E176,食材マスタ!$C$10:$C$309,0)),""))</f>
        <v/>
      </c>
      <c r="J176" s="15" t="str">
        <f t="shared" si="10"/>
        <v/>
      </c>
      <c r="K176" s="20"/>
      <c r="L176" s="8" t="str">
        <f t="shared" si="11"/>
        <v/>
      </c>
      <c r="M176" s="9"/>
      <c r="N176" s="13" t="str">
        <f t="shared" si="12"/>
        <v/>
      </c>
      <c r="O176" s="22" t="str">
        <f t="shared" ca="1" si="13"/>
        <v/>
      </c>
      <c r="P176" s="17" t="str">
        <f t="shared" si="14"/>
        <v/>
      </c>
      <c r="Q176" s="11"/>
      <c r="R176" s="19"/>
      <c r="S176" s="19"/>
      <c r="U176">
        <f ca="1">IF(AND(ISNUMBER(O176),O176&lt;=設定!$C$4),1,0)</f>
        <v>0</v>
      </c>
      <c r="V176" t="str">
        <f ca="1">IF(U176=1,SUM($U$10:U176),"")</f>
        <v/>
      </c>
    </row>
    <row r="177" spans="2:22">
      <c r="B177" s="8" t="str">
        <f>IF(C177="","",COUNT($C$10:C177))</f>
        <v/>
      </c>
      <c r="C177" s="20"/>
      <c r="D177" s="11"/>
      <c r="E177" s="9"/>
      <c r="F177" s="21" t="str">
        <f>IF(E177="","",IFERROR(INDEX(食材マスタ!$D$10:$D$309,MATCH(E177,食材マスタ!$C$10:$C$309,0)),"※コード未登録"))</f>
        <v/>
      </c>
      <c r="G177" s="16"/>
      <c r="H177" s="8" t="str">
        <f>IF(E177="","",IFERROR(INDEX(食材マスタ!$H$10:$H$309,MATCH(E177,食材マスタ!$C$10:$C$309,0)),""))</f>
        <v/>
      </c>
      <c r="I177" s="15" t="str">
        <f>IF(E177="","",IFERROR(INDEX(食材マスタ!$K$10:$K$309,MATCH(E177,食材マスタ!$C$10:$C$309,0)),""))</f>
        <v/>
      </c>
      <c r="J177" s="15" t="str">
        <f t="shared" si="10"/>
        <v/>
      </c>
      <c r="K177" s="20"/>
      <c r="L177" s="8" t="str">
        <f t="shared" si="11"/>
        <v/>
      </c>
      <c r="M177" s="9"/>
      <c r="N177" s="13" t="str">
        <f t="shared" si="12"/>
        <v/>
      </c>
      <c r="O177" s="22" t="str">
        <f t="shared" ca="1" si="13"/>
        <v/>
      </c>
      <c r="P177" s="17" t="str">
        <f t="shared" si="14"/>
        <v/>
      </c>
      <c r="Q177" s="11"/>
      <c r="R177" s="19"/>
      <c r="S177" s="19"/>
      <c r="U177">
        <f ca="1">IF(AND(ISNUMBER(O177),O177&lt;=設定!$C$4),1,0)</f>
        <v>0</v>
      </c>
      <c r="V177" t="str">
        <f ca="1">IF(U177=1,SUM($U$10:U177),"")</f>
        <v/>
      </c>
    </row>
    <row r="178" spans="2:22">
      <c r="B178" s="8" t="str">
        <f>IF(C178="","",COUNT($C$10:C178))</f>
        <v/>
      </c>
      <c r="C178" s="20"/>
      <c r="D178" s="11"/>
      <c r="E178" s="9"/>
      <c r="F178" s="21" t="str">
        <f>IF(E178="","",IFERROR(INDEX(食材マスタ!$D$10:$D$309,MATCH(E178,食材マスタ!$C$10:$C$309,0)),"※コード未登録"))</f>
        <v/>
      </c>
      <c r="G178" s="16"/>
      <c r="H178" s="8" t="str">
        <f>IF(E178="","",IFERROR(INDEX(食材マスタ!$H$10:$H$309,MATCH(E178,食材マスタ!$C$10:$C$309,0)),""))</f>
        <v/>
      </c>
      <c r="I178" s="15" t="str">
        <f>IF(E178="","",IFERROR(INDEX(食材マスタ!$K$10:$K$309,MATCH(E178,食材マスタ!$C$10:$C$309,0)),""))</f>
        <v/>
      </c>
      <c r="J178" s="15" t="str">
        <f t="shared" si="10"/>
        <v/>
      </c>
      <c r="K178" s="20"/>
      <c r="L178" s="8" t="str">
        <f t="shared" si="11"/>
        <v/>
      </c>
      <c r="M178" s="9"/>
      <c r="N178" s="13" t="str">
        <f t="shared" si="12"/>
        <v/>
      </c>
      <c r="O178" s="22" t="str">
        <f t="shared" ca="1" si="13"/>
        <v/>
      </c>
      <c r="P178" s="17" t="str">
        <f t="shared" si="14"/>
        <v/>
      </c>
      <c r="Q178" s="11"/>
      <c r="R178" s="19"/>
      <c r="S178" s="19"/>
      <c r="U178">
        <f ca="1">IF(AND(ISNUMBER(O178),O178&lt;=設定!$C$4),1,0)</f>
        <v>0</v>
      </c>
      <c r="V178" t="str">
        <f ca="1">IF(U178=1,SUM($U$10:U178),"")</f>
        <v/>
      </c>
    </row>
    <row r="179" spans="2:22">
      <c r="B179" s="8" t="str">
        <f>IF(C179="","",COUNT($C$10:C179))</f>
        <v/>
      </c>
      <c r="C179" s="20"/>
      <c r="D179" s="11"/>
      <c r="E179" s="9"/>
      <c r="F179" s="21" t="str">
        <f>IF(E179="","",IFERROR(INDEX(食材マスタ!$D$10:$D$309,MATCH(E179,食材マスタ!$C$10:$C$309,0)),"※コード未登録"))</f>
        <v/>
      </c>
      <c r="G179" s="16"/>
      <c r="H179" s="8" t="str">
        <f>IF(E179="","",IFERROR(INDEX(食材マスタ!$H$10:$H$309,MATCH(E179,食材マスタ!$C$10:$C$309,0)),""))</f>
        <v/>
      </c>
      <c r="I179" s="15" t="str">
        <f>IF(E179="","",IFERROR(INDEX(食材マスタ!$K$10:$K$309,MATCH(E179,食材マスタ!$C$10:$C$309,0)),""))</f>
        <v/>
      </c>
      <c r="J179" s="15" t="str">
        <f t="shared" si="10"/>
        <v/>
      </c>
      <c r="K179" s="20"/>
      <c r="L179" s="8" t="str">
        <f t="shared" si="11"/>
        <v/>
      </c>
      <c r="M179" s="9"/>
      <c r="N179" s="13" t="str">
        <f t="shared" si="12"/>
        <v/>
      </c>
      <c r="O179" s="22" t="str">
        <f t="shared" ca="1" si="13"/>
        <v/>
      </c>
      <c r="P179" s="17" t="str">
        <f t="shared" si="14"/>
        <v/>
      </c>
      <c r="Q179" s="11"/>
      <c r="R179" s="19"/>
      <c r="S179" s="19"/>
      <c r="U179">
        <f ca="1">IF(AND(ISNUMBER(O179),O179&lt;=設定!$C$4),1,0)</f>
        <v>0</v>
      </c>
      <c r="V179" t="str">
        <f ca="1">IF(U179=1,SUM($U$10:U179),"")</f>
        <v/>
      </c>
    </row>
    <row r="180" spans="2:22">
      <c r="B180" s="8" t="str">
        <f>IF(C180="","",COUNT($C$10:C180))</f>
        <v/>
      </c>
      <c r="C180" s="20"/>
      <c r="D180" s="11"/>
      <c r="E180" s="9"/>
      <c r="F180" s="21" t="str">
        <f>IF(E180="","",IFERROR(INDEX(食材マスタ!$D$10:$D$309,MATCH(E180,食材マスタ!$C$10:$C$309,0)),"※コード未登録"))</f>
        <v/>
      </c>
      <c r="G180" s="16"/>
      <c r="H180" s="8" t="str">
        <f>IF(E180="","",IFERROR(INDEX(食材マスタ!$H$10:$H$309,MATCH(E180,食材マスタ!$C$10:$C$309,0)),""))</f>
        <v/>
      </c>
      <c r="I180" s="15" t="str">
        <f>IF(E180="","",IFERROR(INDEX(食材マスタ!$K$10:$K$309,MATCH(E180,食材マスタ!$C$10:$C$309,0)),""))</f>
        <v/>
      </c>
      <c r="J180" s="15" t="str">
        <f t="shared" si="10"/>
        <v/>
      </c>
      <c r="K180" s="20"/>
      <c r="L180" s="8" t="str">
        <f t="shared" si="11"/>
        <v/>
      </c>
      <c r="M180" s="9"/>
      <c r="N180" s="13" t="str">
        <f t="shared" si="12"/>
        <v/>
      </c>
      <c r="O180" s="22" t="str">
        <f t="shared" ca="1" si="13"/>
        <v/>
      </c>
      <c r="P180" s="17" t="str">
        <f t="shared" si="14"/>
        <v/>
      </c>
      <c r="Q180" s="11"/>
      <c r="R180" s="19"/>
      <c r="S180" s="19"/>
      <c r="U180">
        <f ca="1">IF(AND(ISNUMBER(O180),O180&lt;=設定!$C$4),1,0)</f>
        <v>0</v>
      </c>
      <c r="V180" t="str">
        <f ca="1">IF(U180=1,SUM($U$10:U180),"")</f>
        <v/>
      </c>
    </row>
    <row r="181" spans="2:22">
      <c r="B181" s="8" t="str">
        <f>IF(C181="","",COUNT($C$10:C181))</f>
        <v/>
      </c>
      <c r="C181" s="20"/>
      <c r="D181" s="11"/>
      <c r="E181" s="9"/>
      <c r="F181" s="21" t="str">
        <f>IF(E181="","",IFERROR(INDEX(食材マスタ!$D$10:$D$309,MATCH(E181,食材マスタ!$C$10:$C$309,0)),"※コード未登録"))</f>
        <v/>
      </c>
      <c r="G181" s="16"/>
      <c r="H181" s="8" t="str">
        <f>IF(E181="","",IFERROR(INDEX(食材マスタ!$H$10:$H$309,MATCH(E181,食材マスタ!$C$10:$C$309,0)),""))</f>
        <v/>
      </c>
      <c r="I181" s="15" t="str">
        <f>IF(E181="","",IFERROR(INDEX(食材マスタ!$K$10:$K$309,MATCH(E181,食材マスタ!$C$10:$C$309,0)),""))</f>
        <v/>
      </c>
      <c r="J181" s="15" t="str">
        <f t="shared" si="10"/>
        <v/>
      </c>
      <c r="K181" s="20"/>
      <c r="L181" s="8" t="str">
        <f t="shared" si="11"/>
        <v/>
      </c>
      <c r="M181" s="9"/>
      <c r="N181" s="13" t="str">
        <f t="shared" si="12"/>
        <v/>
      </c>
      <c r="O181" s="22" t="str">
        <f t="shared" ca="1" si="13"/>
        <v/>
      </c>
      <c r="P181" s="17" t="str">
        <f t="shared" si="14"/>
        <v/>
      </c>
      <c r="Q181" s="11"/>
      <c r="R181" s="19"/>
      <c r="S181" s="19"/>
      <c r="U181">
        <f ca="1">IF(AND(ISNUMBER(O181),O181&lt;=設定!$C$4),1,0)</f>
        <v>0</v>
      </c>
      <c r="V181" t="str">
        <f ca="1">IF(U181=1,SUM($U$10:U181),"")</f>
        <v/>
      </c>
    </row>
    <row r="182" spans="2:22">
      <c r="B182" s="8" t="str">
        <f>IF(C182="","",COUNT($C$10:C182))</f>
        <v/>
      </c>
      <c r="C182" s="20"/>
      <c r="D182" s="11"/>
      <c r="E182" s="9"/>
      <c r="F182" s="21" t="str">
        <f>IF(E182="","",IFERROR(INDEX(食材マスタ!$D$10:$D$309,MATCH(E182,食材マスタ!$C$10:$C$309,0)),"※コード未登録"))</f>
        <v/>
      </c>
      <c r="G182" s="16"/>
      <c r="H182" s="8" t="str">
        <f>IF(E182="","",IFERROR(INDEX(食材マスタ!$H$10:$H$309,MATCH(E182,食材マスタ!$C$10:$C$309,0)),""))</f>
        <v/>
      </c>
      <c r="I182" s="15" t="str">
        <f>IF(E182="","",IFERROR(INDEX(食材マスタ!$K$10:$K$309,MATCH(E182,食材マスタ!$C$10:$C$309,0)),""))</f>
        <v/>
      </c>
      <c r="J182" s="15" t="str">
        <f t="shared" si="10"/>
        <v/>
      </c>
      <c r="K182" s="20"/>
      <c r="L182" s="8" t="str">
        <f t="shared" si="11"/>
        <v/>
      </c>
      <c r="M182" s="9"/>
      <c r="N182" s="13" t="str">
        <f t="shared" si="12"/>
        <v/>
      </c>
      <c r="O182" s="22" t="str">
        <f t="shared" ca="1" si="13"/>
        <v/>
      </c>
      <c r="P182" s="17" t="str">
        <f t="shared" si="14"/>
        <v/>
      </c>
      <c r="Q182" s="11"/>
      <c r="R182" s="19"/>
      <c r="S182" s="19"/>
      <c r="U182">
        <f ca="1">IF(AND(ISNUMBER(O182),O182&lt;=設定!$C$4),1,0)</f>
        <v>0</v>
      </c>
      <c r="V182" t="str">
        <f ca="1">IF(U182=1,SUM($U$10:U182),"")</f>
        <v/>
      </c>
    </row>
    <row r="183" spans="2:22">
      <c r="B183" s="8" t="str">
        <f>IF(C183="","",COUNT($C$10:C183))</f>
        <v/>
      </c>
      <c r="C183" s="20"/>
      <c r="D183" s="11"/>
      <c r="E183" s="9"/>
      <c r="F183" s="21" t="str">
        <f>IF(E183="","",IFERROR(INDEX(食材マスタ!$D$10:$D$309,MATCH(E183,食材マスタ!$C$10:$C$309,0)),"※コード未登録"))</f>
        <v/>
      </c>
      <c r="G183" s="16"/>
      <c r="H183" s="8" t="str">
        <f>IF(E183="","",IFERROR(INDEX(食材マスタ!$H$10:$H$309,MATCH(E183,食材マスタ!$C$10:$C$309,0)),""))</f>
        <v/>
      </c>
      <c r="I183" s="15" t="str">
        <f>IF(E183="","",IFERROR(INDEX(食材マスタ!$K$10:$K$309,MATCH(E183,食材マスタ!$C$10:$C$309,0)),""))</f>
        <v/>
      </c>
      <c r="J183" s="15" t="str">
        <f t="shared" si="10"/>
        <v/>
      </c>
      <c r="K183" s="20"/>
      <c r="L183" s="8" t="str">
        <f t="shared" si="11"/>
        <v/>
      </c>
      <c r="M183" s="9"/>
      <c r="N183" s="13" t="str">
        <f t="shared" si="12"/>
        <v/>
      </c>
      <c r="O183" s="22" t="str">
        <f t="shared" ca="1" si="13"/>
        <v/>
      </c>
      <c r="P183" s="17" t="str">
        <f t="shared" si="14"/>
        <v/>
      </c>
      <c r="Q183" s="11"/>
      <c r="R183" s="19"/>
      <c r="S183" s="19"/>
      <c r="U183">
        <f ca="1">IF(AND(ISNUMBER(O183),O183&lt;=設定!$C$4),1,0)</f>
        <v>0</v>
      </c>
      <c r="V183" t="str">
        <f ca="1">IF(U183=1,SUM($U$10:U183),"")</f>
        <v/>
      </c>
    </row>
    <row r="184" spans="2:22">
      <c r="B184" s="8" t="str">
        <f>IF(C184="","",COUNT($C$10:C184))</f>
        <v/>
      </c>
      <c r="C184" s="20"/>
      <c r="D184" s="11"/>
      <c r="E184" s="9"/>
      <c r="F184" s="21" t="str">
        <f>IF(E184="","",IFERROR(INDEX(食材マスタ!$D$10:$D$309,MATCH(E184,食材マスタ!$C$10:$C$309,0)),"※コード未登録"))</f>
        <v/>
      </c>
      <c r="G184" s="16"/>
      <c r="H184" s="8" t="str">
        <f>IF(E184="","",IFERROR(INDEX(食材マスタ!$H$10:$H$309,MATCH(E184,食材マスタ!$C$10:$C$309,0)),""))</f>
        <v/>
      </c>
      <c r="I184" s="15" t="str">
        <f>IF(E184="","",IFERROR(INDEX(食材マスタ!$K$10:$K$309,MATCH(E184,食材マスタ!$C$10:$C$309,0)),""))</f>
        <v/>
      </c>
      <c r="J184" s="15" t="str">
        <f t="shared" si="10"/>
        <v/>
      </c>
      <c r="K184" s="20"/>
      <c r="L184" s="8" t="str">
        <f t="shared" si="11"/>
        <v/>
      </c>
      <c r="M184" s="9"/>
      <c r="N184" s="13" t="str">
        <f t="shared" si="12"/>
        <v/>
      </c>
      <c r="O184" s="22" t="str">
        <f t="shared" ca="1" si="13"/>
        <v/>
      </c>
      <c r="P184" s="17" t="str">
        <f t="shared" si="14"/>
        <v/>
      </c>
      <c r="Q184" s="11"/>
      <c r="R184" s="19"/>
      <c r="S184" s="19"/>
      <c r="U184">
        <f ca="1">IF(AND(ISNUMBER(O184),O184&lt;=設定!$C$4),1,0)</f>
        <v>0</v>
      </c>
      <c r="V184" t="str">
        <f ca="1">IF(U184=1,SUM($U$10:U184),"")</f>
        <v/>
      </c>
    </row>
    <row r="185" spans="2:22">
      <c r="B185" s="8" t="str">
        <f>IF(C185="","",COUNT($C$10:C185))</f>
        <v/>
      </c>
      <c r="C185" s="20"/>
      <c r="D185" s="11"/>
      <c r="E185" s="9"/>
      <c r="F185" s="21" t="str">
        <f>IF(E185="","",IFERROR(INDEX(食材マスタ!$D$10:$D$309,MATCH(E185,食材マスタ!$C$10:$C$309,0)),"※コード未登録"))</f>
        <v/>
      </c>
      <c r="G185" s="16"/>
      <c r="H185" s="8" t="str">
        <f>IF(E185="","",IFERROR(INDEX(食材マスタ!$H$10:$H$309,MATCH(E185,食材マスタ!$C$10:$C$309,0)),""))</f>
        <v/>
      </c>
      <c r="I185" s="15" t="str">
        <f>IF(E185="","",IFERROR(INDEX(食材マスタ!$K$10:$K$309,MATCH(E185,食材マスタ!$C$10:$C$309,0)),""))</f>
        <v/>
      </c>
      <c r="J185" s="15" t="str">
        <f t="shared" si="10"/>
        <v/>
      </c>
      <c r="K185" s="20"/>
      <c r="L185" s="8" t="str">
        <f t="shared" si="11"/>
        <v/>
      </c>
      <c r="M185" s="9"/>
      <c r="N185" s="13" t="str">
        <f t="shared" si="12"/>
        <v/>
      </c>
      <c r="O185" s="22" t="str">
        <f t="shared" ca="1" si="13"/>
        <v/>
      </c>
      <c r="P185" s="17" t="str">
        <f t="shared" si="14"/>
        <v/>
      </c>
      <c r="Q185" s="11"/>
      <c r="R185" s="19"/>
      <c r="S185" s="19"/>
      <c r="U185">
        <f ca="1">IF(AND(ISNUMBER(O185),O185&lt;=設定!$C$4),1,0)</f>
        <v>0</v>
      </c>
      <c r="V185" t="str">
        <f ca="1">IF(U185=1,SUM($U$10:U185),"")</f>
        <v/>
      </c>
    </row>
    <row r="186" spans="2:22">
      <c r="B186" s="8" t="str">
        <f>IF(C186="","",COUNT($C$10:C186))</f>
        <v/>
      </c>
      <c r="C186" s="20"/>
      <c r="D186" s="11"/>
      <c r="E186" s="9"/>
      <c r="F186" s="21" t="str">
        <f>IF(E186="","",IFERROR(INDEX(食材マスタ!$D$10:$D$309,MATCH(E186,食材マスタ!$C$10:$C$309,0)),"※コード未登録"))</f>
        <v/>
      </c>
      <c r="G186" s="16"/>
      <c r="H186" s="8" t="str">
        <f>IF(E186="","",IFERROR(INDEX(食材マスタ!$H$10:$H$309,MATCH(E186,食材マスタ!$C$10:$C$309,0)),""))</f>
        <v/>
      </c>
      <c r="I186" s="15" t="str">
        <f>IF(E186="","",IFERROR(INDEX(食材マスタ!$K$10:$K$309,MATCH(E186,食材マスタ!$C$10:$C$309,0)),""))</f>
        <v/>
      </c>
      <c r="J186" s="15" t="str">
        <f t="shared" si="10"/>
        <v/>
      </c>
      <c r="K186" s="20"/>
      <c r="L186" s="8" t="str">
        <f t="shared" si="11"/>
        <v/>
      </c>
      <c r="M186" s="9"/>
      <c r="N186" s="13" t="str">
        <f t="shared" si="12"/>
        <v/>
      </c>
      <c r="O186" s="22" t="str">
        <f t="shared" ca="1" si="13"/>
        <v/>
      </c>
      <c r="P186" s="17" t="str">
        <f t="shared" si="14"/>
        <v/>
      </c>
      <c r="Q186" s="11"/>
      <c r="R186" s="19"/>
      <c r="S186" s="19"/>
      <c r="U186">
        <f ca="1">IF(AND(ISNUMBER(O186),O186&lt;=設定!$C$4),1,0)</f>
        <v>0</v>
      </c>
      <c r="V186" t="str">
        <f ca="1">IF(U186=1,SUM($U$10:U186),"")</f>
        <v/>
      </c>
    </row>
    <row r="187" spans="2:22">
      <c r="B187" s="8" t="str">
        <f>IF(C187="","",COUNT($C$10:C187))</f>
        <v/>
      </c>
      <c r="C187" s="20"/>
      <c r="D187" s="11"/>
      <c r="E187" s="9"/>
      <c r="F187" s="21" t="str">
        <f>IF(E187="","",IFERROR(INDEX(食材マスタ!$D$10:$D$309,MATCH(E187,食材マスタ!$C$10:$C$309,0)),"※コード未登録"))</f>
        <v/>
      </c>
      <c r="G187" s="16"/>
      <c r="H187" s="8" t="str">
        <f>IF(E187="","",IFERROR(INDEX(食材マスタ!$H$10:$H$309,MATCH(E187,食材マスタ!$C$10:$C$309,0)),""))</f>
        <v/>
      </c>
      <c r="I187" s="15" t="str">
        <f>IF(E187="","",IFERROR(INDEX(食材マスタ!$K$10:$K$309,MATCH(E187,食材マスタ!$C$10:$C$309,0)),""))</f>
        <v/>
      </c>
      <c r="J187" s="15" t="str">
        <f t="shared" si="10"/>
        <v/>
      </c>
      <c r="K187" s="20"/>
      <c r="L187" s="8" t="str">
        <f t="shared" si="11"/>
        <v/>
      </c>
      <c r="M187" s="9"/>
      <c r="N187" s="13" t="str">
        <f t="shared" si="12"/>
        <v/>
      </c>
      <c r="O187" s="22" t="str">
        <f t="shared" ca="1" si="13"/>
        <v/>
      </c>
      <c r="P187" s="17" t="str">
        <f t="shared" si="14"/>
        <v/>
      </c>
      <c r="Q187" s="11"/>
      <c r="R187" s="19"/>
      <c r="S187" s="19"/>
      <c r="U187">
        <f ca="1">IF(AND(ISNUMBER(O187),O187&lt;=設定!$C$4),1,0)</f>
        <v>0</v>
      </c>
      <c r="V187" t="str">
        <f ca="1">IF(U187=1,SUM($U$10:U187),"")</f>
        <v/>
      </c>
    </row>
    <row r="188" spans="2:22">
      <c r="B188" s="8" t="str">
        <f>IF(C188="","",COUNT($C$10:C188))</f>
        <v/>
      </c>
      <c r="C188" s="20"/>
      <c r="D188" s="11"/>
      <c r="E188" s="9"/>
      <c r="F188" s="21" t="str">
        <f>IF(E188="","",IFERROR(INDEX(食材マスタ!$D$10:$D$309,MATCH(E188,食材マスタ!$C$10:$C$309,0)),"※コード未登録"))</f>
        <v/>
      </c>
      <c r="G188" s="16"/>
      <c r="H188" s="8" t="str">
        <f>IF(E188="","",IFERROR(INDEX(食材マスタ!$H$10:$H$309,MATCH(E188,食材マスタ!$C$10:$C$309,0)),""))</f>
        <v/>
      </c>
      <c r="I188" s="15" t="str">
        <f>IF(E188="","",IFERROR(INDEX(食材マスタ!$K$10:$K$309,MATCH(E188,食材マスタ!$C$10:$C$309,0)),""))</f>
        <v/>
      </c>
      <c r="J188" s="15" t="str">
        <f t="shared" si="10"/>
        <v/>
      </c>
      <c r="K188" s="20"/>
      <c r="L188" s="8" t="str">
        <f t="shared" si="11"/>
        <v/>
      </c>
      <c r="M188" s="9"/>
      <c r="N188" s="13" t="str">
        <f t="shared" si="12"/>
        <v/>
      </c>
      <c r="O188" s="22" t="str">
        <f t="shared" ca="1" si="13"/>
        <v/>
      </c>
      <c r="P188" s="17" t="str">
        <f t="shared" si="14"/>
        <v/>
      </c>
      <c r="Q188" s="11"/>
      <c r="R188" s="19"/>
      <c r="S188" s="19"/>
      <c r="U188">
        <f ca="1">IF(AND(ISNUMBER(O188),O188&lt;=設定!$C$4),1,0)</f>
        <v>0</v>
      </c>
      <c r="V188" t="str">
        <f ca="1">IF(U188=1,SUM($U$10:U188),"")</f>
        <v/>
      </c>
    </row>
    <row r="189" spans="2:22">
      <c r="B189" s="8" t="str">
        <f>IF(C189="","",COUNT($C$10:C189))</f>
        <v/>
      </c>
      <c r="C189" s="20"/>
      <c r="D189" s="11"/>
      <c r="E189" s="9"/>
      <c r="F189" s="21" t="str">
        <f>IF(E189="","",IFERROR(INDEX(食材マスタ!$D$10:$D$309,MATCH(E189,食材マスタ!$C$10:$C$309,0)),"※コード未登録"))</f>
        <v/>
      </c>
      <c r="G189" s="16"/>
      <c r="H189" s="8" t="str">
        <f>IF(E189="","",IFERROR(INDEX(食材マスタ!$H$10:$H$309,MATCH(E189,食材マスタ!$C$10:$C$309,0)),""))</f>
        <v/>
      </c>
      <c r="I189" s="15" t="str">
        <f>IF(E189="","",IFERROR(INDEX(食材マスタ!$K$10:$K$309,MATCH(E189,食材マスタ!$C$10:$C$309,0)),""))</f>
        <v/>
      </c>
      <c r="J189" s="15" t="str">
        <f t="shared" si="10"/>
        <v/>
      </c>
      <c r="K189" s="20"/>
      <c r="L189" s="8" t="str">
        <f t="shared" si="11"/>
        <v/>
      </c>
      <c r="M189" s="9"/>
      <c r="N189" s="13" t="str">
        <f t="shared" si="12"/>
        <v/>
      </c>
      <c r="O189" s="22" t="str">
        <f t="shared" ca="1" si="13"/>
        <v/>
      </c>
      <c r="P189" s="17" t="str">
        <f t="shared" si="14"/>
        <v/>
      </c>
      <c r="Q189" s="11"/>
      <c r="R189" s="19"/>
      <c r="S189" s="19"/>
      <c r="U189">
        <f ca="1">IF(AND(ISNUMBER(O189),O189&lt;=設定!$C$4),1,0)</f>
        <v>0</v>
      </c>
      <c r="V189" t="str">
        <f ca="1">IF(U189=1,SUM($U$10:U189),"")</f>
        <v/>
      </c>
    </row>
    <row r="190" spans="2:22">
      <c r="B190" s="8" t="str">
        <f>IF(C190="","",COUNT($C$10:C190))</f>
        <v/>
      </c>
      <c r="C190" s="20"/>
      <c r="D190" s="11"/>
      <c r="E190" s="9"/>
      <c r="F190" s="21" t="str">
        <f>IF(E190="","",IFERROR(INDEX(食材マスタ!$D$10:$D$309,MATCH(E190,食材マスタ!$C$10:$C$309,0)),"※コード未登録"))</f>
        <v/>
      </c>
      <c r="G190" s="16"/>
      <c r="H190" s="8" t="str">
        <f>IF(E190="","",IFERROR(INDEX(食材マスタ!$H$10:$H$309,MATCH(E190,食材マスタ!$C$10:$C$309,0)),""))</f>
        <v/>
      </c>
      <c r="I190" s="15" t="str">
        <f>IF(E190="","",IFERROR(INDEX(食材マスタ!$K$10:$K$309,MATCH(E190,食材マスタ!$C$10:$C$309,0)),""))</f>
        <v/>
      </c>
      <c r="J190" s="15" t="str">
        <f t="shared" si="10"/>
        <v/>
      </c>
      <c r="K190" s="20"/>
      <c r="L190" s="8" t="str">
        <f t="shared" si="11"/>
        <v/>
      </c>
      <c r="M190" s="9"/>
      <c r="N190" s="13" t="str">
        <f t="shared" si="12"/>
        <v/>
      </c>
      <c r="O190" s="22" t="str">
        <f t="shared" ca="1" si="13"/>
        <v/>
      </c>
      <c r="P190" s="17" t="str">
        <f t="shared" si="14"/>
        <v/>
      </c>
      <c r="Q190" s="11"/>
      <c r="R190" s="19"/>
      <c r="S190" s="19"/>
      <c r="U190">
        <f ca="1">IF(AND(ISNUMBER(O190),O190&lt;=設定!$C$4),1,0)</f>
        <v>0</v>
      </c>
      <c r="V190" t="str">
        <f ca="1">IF(U190=1,SUM($U$10:U190),"")</f>
        <v/>
      </c>
    </row>
    <row r="191" spans="2:22">
      <c r="B191" s="8" t="str">
        <f>IF(C191="","",COUNT($C$10:C191))</f>
        <v/>
      </c>
      <c r="C191" s="20"/>
      <c r="D191" s="11"/>
      <c r="E191" s="9"/>
      <c r="F191" s="21" t="str">
        <f>IF(E191="","",IFERROR(INDEX(食材マスタ!$D$10:$D$309,MATCH(E191,食材マスタ!$C$10:$C$309,0)),"※コード未登録"))</f>
        <v/>
      </c>
      <c r="G191" s="16"/>
      <c r="H191" s="8" t="str">
        <f>IF(E191="","",IFERROR(INDEX(食材マスタ!$H$10:$H$309,MATCH(E191,食材マスタ!$C$10:$C$309,0)),""))</f>
        <v/>
      </c>
      <c r="I191" s="15" t="str">
        <f>IF(E191="","",IFERROR(INDEX(食材マスタ!$K$10:$K$309,MATCH(E191,食材マスタ!$C$10:$C$309,0)),""))</f>
        <v/>
      </c>
      <c r="J191" s="15" t="str">
        <f t="shared" si="10"/>
        <v/>
      </c>
      <c r="K191" s="20"/>
      <c r="L191" s="8" t="str">
        <f t="shared" si="11"/>
        <v/>
      </c>
      <c r="M191" s="9"/>
      <c r="N191" s="13" t="str">
        <f t="shared" si="12"/>
        <v/>
      </c>
      <c r="O191" s="22" t="str">
        <f t="shared" ca="1" si="13"/>
        <v/>
      </c>
      <c r="P191" s="17" t="str">
        <f t="shared" si="14"/>
        <v/>
      </c>
      <c r="Q191" s="11"/>
      <c r="R191" s="19"/>
      <c r="S191" s="19"/>
      <c r="U191">
        <f ca="1">IF(AND(ISNUMBER(O191),O191&lt;=設定!$C$4),1,0)</f>
        <v>0</v>
      </c>
      <c r="V191" t="str">
        <f ca="1">IF(U191=1,SUM($U$10:U191),"")</f>
        <v/>
      </c>
    </row>
    <row r="192" spans="2:22">
      <c r="B192" s="8" t="str">
        <f>IF(C192="","",COUNT($C$10:C192))</f>
        <v/>
      </c>
      <c r="C192" s="20"/>
      <c r="D192" s="11"/>
      <c r="E192" s="9"/>
      <c r="F192" s="21" t="str">
        <f>IF(E192="","",IFERROR(INDEX(食材マスタ!$D$10:$D$309,MATCH(E192,食材マスタ!$C$10:$C$309,0)),"※コード未登録"))</f>
        <v/>
      </c>
      <c r="G192" s="16"/>
      <c r="H192" s="8" t="str">
        <f>IF(E192="","",IFERROR(INDEX(食材マスタ!$H$10:$H$309,MATCH(E192,食材マスタ!$C$10:$C$309,0)),""))</f>
        <v/>
      </c>
      <c r="I192" s="15" t="str">
        <f>IF(E192="","",IFERROR(INDEX(食材マスタ!$K$10:$K$309,MATCH(E192,食材マスタ!$C$10:$C$309,0)),""))</f>
        <v/>
      </c>
      <c r="J192" s="15" t="str">
        <f t="shared" si="10"/>
        <v/>
      </c>
      <c r="K192" s="20"/>
      <c r="L192" s="8" t="str">
        <f t="shared" si="11"/>
        <v/>
      </c>
      <c r="M192" s="9"/>
      <c r="N192" s="13" t="str">
        <f t="shared" si="12"/>
        <v/>
      </c>
      <c r="O192" s="22" t="str">
        <f t="shared" ca="1" si="13"/>
        <v/>
      </c>
      <c r="P192" s="17" t="str">
        <f t="shared" si="14"/>
        <v/>
      </c>
      <c r="Q192" s="11"/>
      <c r="R192" s="19"/>
      <c r="S192" s="19"/>
      <c r="U192">
        <f ca="1">IF(AND(ISNUMBER(O192),O192&lt;=設定!$C$4),1,0)</f>
        <v>0</v>
      </c>
      <c r="V192" t="str">
        <f ca="1">IF(U192=1,SUM($U$10:U192),"")</f>
        <v/>
      </c>
    </row>
    <row r="193" spans="2:22">
      <c r="B193" s="8" t="str">
        <f>IF(C193="","",COUNT($C$10:C193))</f>
        <v/>
      </c>
      <c r="C193" s="20"/>
      <c r="D193" s="11"/>
      <c r="E193" s="9"/>
      <c r="F193" s="21" t="str">
        <f>IF(E193="","",IFERROR(INDEX(食材マスタ!$D$10:$D$309,MATCH(E193,食材マスタ!$C$10:$C$309,0)),"※コード未登録"))</f>
        <v/>
      </c>
      <c r="G193" s="16"/>
      <c r="H193" s="8" t="str">
        <f>IF(E193="","",IFERROR(INDEX(食材マスタ!$H$10:$H$309,MATCH(E193,食材マスタ!$C$10:$C$309,0)),""))</f>
        <v/>
      </c>
      <c r="I193" s="15" t="str">
        <f>IF(E193="","",IFERROR(INDEX(食材マスタ!$K$10:$K$309,MATCH(E193,食材マスタ!$C$10:$C$309,0)),""))</f>
        <v/>
      </c>
      <c r="J193" s="15" t="str">
        <f t="shared" si="10"/>
        <v/>
      </c>
      <c r="K193" s="20"/>
      <c r="L193" s="8" t="str">
        <f t="shared" si="11"/>
        <v/>
      </c>
      <c r="M193" s="9"/>
      <c r="N193" s="13" t="str">
        <f t="shared" si="12"/>
        <v/>
      </c>
      <c r="O193" s="22" t="str">
        <f t="shared" ca="1" si="13"/>
        <v/>
      </c>
      <c r="P193" s="17" t="str">
        <f t="shared" si="14"/>
        <v/>
      </c>
      <c r="Q193" s="11"/>
      <c r="R193" s="19"/>
      <c r="S193" s="19"/>
      <c r="U193">
        <f ca="1">IF(AND(ISNUMBER(O193),O193&lt;=設定!$C$4),1,0)</f>
        <v>0</v>
      </c>
      <c r="V193" t="str">
        <f ca="1">IF(U193=1,SUM($U$10:U193),"")</f>
        <v/>
      </c>
    </row>
    <row r="194" spans="2:22">
      <c r="B194" s="8" t="str">
        <f>IF(C194="","",COUNT($C$10:C194))</f>
        <v/>
      </c>
      <c r="C194" s="20"/>
      <c r="D194" s="11"/>
      <c r="E194" s="9"/>
      <c r="F194" s="21" t="str">
        <f>IF(E194="","",IFERROR(INDEX(食材マスタ!$D$10:$D$309,MATCH(E194,食材マスタ!$C$10:$C$309,0)),"※コード未登録"))</f>
        <v/>
      </c>
      <c r="G194" s="16"/>
      <c r="H194" s="8" t="str">
        <f>IF(E194="","",IFERROR(INDEX(食材マスタ!$H$10:$H$309,MATCH(E194,食材マスタ!$C$10:$C$309,0)),""))</f>
        <v/>
      </c>
      <c r="I194" s="15" t="str">
        <f>IF(E194="","",IFERROR(INDEX(食材マスタ!$K$10:$K$309,MATCH(E194,食材マスタ!$C$10:$C$309,0)),""))</f>
        <v/>
      </c>
      <c r="J194" s="15" t="str">
        <f t="shared" si="10"/>
        <v/>
      </c>
      <c r="K194" s="20"/>
      <c r="L194" s="8" t="str">
        <f t="shared" si="11"/>
        <v/>
      </c>
      <c r="M194" s="9"/>
      <c r="N194" s="13" t="str">
        <f t="shared" si="12"/>
        <v/>
      </c>
      <c r="O194" s="22" t="str">
        <f t="shared" ca="1" si="13"/>
        <v/>
      </c>
      <c r="P194" s="17" t="str">
        <f t="shared" si="14"/>
        <v/>
      </c>
      <c r="Q194" s="11"/>
      <c r="R194" s="19"/>
      <c r="S194" s="19"/>
      <c r="U194">
        <f ca="1">IF(AND(ISNUMBER(O194),O194&lt;=設定!$C$4),1,0)</f>
        <v>0</v>
      </c>
      <c r="V194" t="str">
        <f ca="1">IF(U194=1,SUM($U$10:U194),"")</f>
        <v/>
      </c>
    </row>
    <row r="195" spans="2:22">
      <c r="B195" s="8" t="str">
        <f>IF(C195="","",COUNT($C$10:C195))</f>
        <v/>
      </c>
      <c r="C195" s="20"/>
      <c r="D195" s="11"/>
      <c r="E195" s="9"/>
      <c r="F195" s="21" t="str">
        <f>IF(E195="","",IFERROR(INDEX(食材マスタ!$D$10:$D$309,MATCH(E195,食材マスタ!$C$10:$C$309,0)),"※コード未登録"))</f>
        <v/>
      </c>
      <c r="G195" s="16"/>
      <c r="H195" s="8" t="str">
        <f>IF(E195="","",IFERROR(INDEX(食材マスタ!$H$10:$H$309,MATCH(E195,食材マスタ!$C$10:$C$309,0)),""))</f>
        <v/>
      </c>
      <c r="I195" s="15" t="str">
        <f>IF(E195="","",IFERROR(INDEX(食材マスタ!$K$10:$K$309,MATCH(E195,食材マスタ!$C$10:$C$309,0)),""))</f>
        <v/>
      </c>
      <c r="J195" s="15" t="str">
        <f t="shared" si="10"/>
        <v/>
      </c>
      <c r="K195" s="20"/>
      <c r="L195" s="8" t="str">
        <f t="shared" si="11"/>
        <v/>
      </c>
      <c r="M195" s="9"/>
      <c r="N195" s="13" t="str">
        <f t="shared" si="12"/>
        <v/>
      </c>
      <c r="O195" s="22" t="str">
        <f t="shared" ca="1" si="13"/>
        <v/>
      </c>
      <c r="P195" s="17" t="str">
        <f t="shared" si="14"/>
        <v/>
      </c>
      <c r="Q195" s="11"/>
      <c r="R195" s="19"/>
      <c r="S195" s="19"/>
      <c r="U195">
        <f ca="1">IF(AND(ISNUMBER(O195),O195&lt;=設定!$C$4),1,0)</f>
        <v>0</v>
      </c>
      <c r="V195" t="str">
        <f ca="1">IF(U195=1,SUM($U$10:U195),"")</f>
        <v/>
      </c>
    </row>
    <row r="196" spans="2:22">
      <c r="B196" s="8" t="str">
        <f>IF(C196="","",COUNT($C$10:C196))</f>
        <v/>
      </c>
      <c r="C196" s="20"/>
      <c r="D196" s="11"/>
      <c r="E196" s="9"/>
      <c r="F196" s="21" t="str">
        <f>IF(E196="","",IFERROR(INDEX(食材マスタ!$D$10:$D$309,MATCH(E196,食材マスタ!$C$10:$C$309,0)),"※コード未登録"))</f>
        <v/>
      </c>
      <c r="G196" s="16"/>
      <c r="H196" s="8" t="str">
        <f>IF(E196="","",IFERROR(INDEX(食材マスタ!$H$10:$H$309,MATCH(E196,食材マスタ!$C$10:$C$309,0)),""))</f>
        <v/>
      </c>
      <c r="I196" s="15" t="str">
        <f>IF(E196="","",IFERROR(INDEX(食材マスタ!$K$10:$K$309,MATCH(E196,食材マスタ!$C$10:$C$309,0)),""))</f>
        <v/>
      </c>
      <c r="J196" s="15" t="str">
        <f t="shared" si="10"/>
        <v/>
      </c>
      <c r="K196" s="20"/>
      <c r="L196" s="8" t="str">
        <f t="shared" si="11"/>
        <v/>
      </c>
      <c r="M196" s="9"/>
      <c r="N196" s="13" t="str">
        <f t="shared" si="12"/>
        <v/>
      </c>
      <c r="O196" s="22" t="str">
        <f t="shared" ca="1" si="13"/>
        <v/>
      </c>
      <c r="P196" s="17" t="str">
        <f t="shared" si="14"/>
        <v/>
      </c>
      <c r="Q196" s="11"/>
      <c r="R196" s="19"/>
      <c r="S196" s="19"/>
      <c r="U196">
        <f ca="1">IF(AND(ISNUMBER(O196),O196&lt;=設定!$C$4),1,0)</f>
        <v>0</v>
      </c>
      <c r="V196" t="str">
        <f ca="1">IF(U196=1,SUM($U$10:U196),"")</f>
        <v/>
      </c>
    </row>
    <row r="197" spans="2:22">
      <c r="B197" s="8" t="str">
        <f>IF(C197="","",COUNT($C$10:C197))</f>
        <v/>
      </c>
      <c r="C197" s="20"/>
      <c r="D197" s="11"/>
      <c r="E197" s="9"/>
      <c r="F197" s="21" t="str">
        <f>IF(E197="","",IFERROR(INDEX(食材マスタ!$D$10:$D$309,MATCH(E197,食材マスタ!$C$10:$C$309,0)),"※コード未登録"))</f>
        <v/>
      </c>
      <c r="G197" s="16"/>
      <c r="H197" s="8" t="str">
        <f>IF(E197="","",IFERROR(INDEX(食材マスタ!$H$10:$H$309,MATCH(E197,食材マスタ!$C$10:$C$309,0)),""))</f>
        <v/>
      </c>
      <c r="I197" s="15" t="str">
        <f>IF(E197="","",IFERROR(INDEX(食材マスタ!$K$10:$K$309,MATCH(E197,食材マスタ!$C$10:$C$309,0)),""))</f>
        <v/>
      </c>
      <c r="J197" s="15" t="str">
        <f t="shared" si="10"/>
        <v/>
      </c>
      <c r="K197" s="20"/>
      <c r="L197" s="8" t="str">
        <f t="shared" si="11"/>
        <v/>
      </c>
      <c r="M197" s="9"/>
      <c r="N197" s="13" t="str">
        <f t="shared" si="12"/>
        <v/>
      </c>
      <c r="O197" s="22" t="str">
        <f t="shared" ca="1" si="13"/>
        <v/>
      </c>
      <c r="P197" s="17" t="str">
        <f t="shared" si="14"/>
        <v/>
      </c>
      <c r="Q197" s="11"/>
      <c r="R197" s="19"/>
      <c r="S197" s="19"/>
      <c r="U197">
        <f ca="1">IF(AND(ISNUMBER(O197),O197&lt;=設定!$C$4),1,0)</f>
        <v>0</v>
      </c>
      <c r="V197" t="str">
        <f ca="1">IF(U197=1,SUM($U$10:U197),"")</f>
        <v/>
      </c>
    </row>
    <row r="198" spans="2:22">
      <c r="B198" s="8" t="str">
        <f>IF(C198="","",COUNT($C$10:C198))</f>
        <v/>
      </c>
      <c r="C198" s="20"/>
      <c r="D198" s="11"/>
      <c r="E198" s="9"/>
      <c r="F198" s="21" t="str">
        <f>IF(E198="","",IFERROR(INDEX(食材マスタ!$D$10:$D$309,MATCH(E198,食材マスタ!$C$10:$C$309,0)),"※コード未登録"))</f>
        <v/>
      </c>
      <c r="G198" s="16"/>
      <c r="H198" s="8" t="str">
        <f>IF(E198="","",IFERROR(INDEX(食材マスタ!$H$10:$H$309,MATCH(E198,食材マスタ!$C$10:$C$309,0)),""))</f>
        <v/>
      </c>
      <c r="I198" s="15" t="str">
        <f>IF(E198="","",IFERROR(INDEX(食材マスタ!$K$10:$K$309,MATCH(E198,食材マスタ!$C$10:$C$309,0)),""))</f>
        <v/>
      </c>
      <c r="J198" s="15" t="str">
        <f t="shared" si="10"/>
        <v/>
      </c>
      <c r="K198" s="20"/>
      <c r="L198" s="8" t="str">
        <f t="shared" si="11"/>
        <v/>
      </c>
      <c r="M198" s="9"/>
      <c r="N198" s="13" t="str">
        <f t="shared" si="12"/>
        <v/>
      </c>
      <c r="O198" s="22" t="str">
        <f t="shared" ca="1" si="13"/>
        <v/>
      </c>
      <c r="P198" s="17" t="str">
        <f t="shared" si="14"/>
        <v/>
      </c>
      <c r="Q198" s="11"/>
      <c r="R198" s="19"/>
      <c r="S198" s="19"/>
      <c r="U198">
        <f ca="1">IF(AND(ISNUMBER(O198),O198&lt;=設定!$C$4),1,0)</f>
        <v>0</v>
      </c>
      <c r="V198" t="str">
        <f ca="1">IF(U198=1,SUM($U$10:U198),"")</f>
        <v/>
      </c>
    </row>
    <row r="199" spans="2:22">
      <c r="B199" s="8" t="str">
        <f>IF(C199="","",COUNT($C$10:C199))</f>
        <v/>
      </c>
      <c r="C199" s="20"/>
      <c r="D199" s="11"/>
      <c r="E199" s="9"/>
      <c r="F199" s="21" t="str">
        <f>IF(E199="","",IFERROR(INDEX(食材マスタ!$D$10:$D$309,MATCH(E199,食材マスタ!$C$10:$C$309,0)),"※コード未登録"))</f>
        <v/>
      </c>
      <c r="G199" s="16"/>
      <c r="H199" s="8" t="str">
        <f>IF(E199="","",IFERROR(INDEX(食材マスタ!$H$10:$H$309,MATCH(E199,食材マスタ!$C$10:$C$309,0)),""))</f>
        <v/>
      </c>
      <c r="I199" s="15" t="str">
        <f>IF(E199="","",IFERROR(INDEX(食材マスタ!$K$10:$K$309,MATCH(E199,食材マスタ!$C$10:$C$309,0)),""))</f>
        <v/>
      </c>
      <c r="J199" s="15" t="str">
        <f t="shared" si="10"/>
        <v/>
      </c>
      <c r="K199" s="20"/>
      <c r="L199" s="8" t="str">
        <f t="shared" si="11"/>
        <v/>
      </c>
      <c r="M199" s="9"/>
      <c r="N199" s="13" t="str">
        <f t="shared" si="12"/>
        <v/>
      </c>
      <c r="O199" s="22" t="str">
        <f t="shared" ca="1" si="13"/>
        <v/>
      </c>
      <c r="P199" s="17" t="str">
        <f t="shared" si="14"/>
        <v/>
      </c>
      <c r="Q199" s="11"/>
      <c r="R199" s="19"/>
      <c r="S199" s="19"/>
      <c r="U199">
        <f ca="1">IF(AND(ISNUMBER(O199),O199&lt;=設定!$C$4),1,0)</f>
        <v>0</v>
      </c>
      <c r="V199" t="str">
        <f ca="1">IF(U199=1,SUM($U$10:U199),"")</f>
        <v/>
      </c>
    </row>
    <row r="200" spans="2:22">
      <c r="B200" s="8" t="str">
        <f>IF(C200="","",COUNT($C$10:C200))</f>
        <v/>
      </c>
      <c r="C200" s="20"/>
      <c r="D200" s="11"/>
      <c r="E200" s="9"/>
      <c r="F200" s="21" t="str">
        <f>IF(E200="","",IFERROR(INDEX(食材マスタ!$D$10:$D$309,MATCH(E200,食材マスタ!$C$10:$C$309,0)),"※コード未登録"))</f>
        <v/>
      </c>
      <c r="G200" s="16"/>
      <c r="H200" s="8" t="str">
        <f>IF(E200="","",IFERROR(INDEX(食材マスタ!$H$10:$H$309,MATCH(E200,食材マスタ!$C$10:$C$309,0)),""))</f>
        <v/>
      </c>
      <c r="I200" s="15" t="str">
        <f>IF(E200="","",IFERROR(INDEX(食材マスタ!$K$10:$K$309,MATCH(E200,食材マスタ!$C$10:$C$309,0)),""))</f>
        <v/>
      </c>
      <c r="J200" s="15" t="str">
        <f t="shared" si="10"/>
        <v/>
      </c>
      <c r="K200" s="20"/>
      <c r="L200" s="8" t="str">
        <f t="shared" si="11"/>
        <v/>
      </c>
      <c r="M200" s="9"/>
      <c r="N200" s="13" t="str">
        <f t="shared" si="12"/>
        <v/>
      </c>
      <c r="O200" s="22" t="str">
        <f t="shared" ca="1" si="13"/>
        <v/>
      </c>
      <c r="P200" s="17" t="str">
        <f t="shared" si="14"/>
        <v/>
      </c>
      <c r="Q200" s="11"/>
      <c r="R200" s="19"/>
      <c r="S200" s="19"/>
      <c r="U200">
        <f ca="1">IF(AND(ISNUMBER(O200),O200&lt;=設定!$C$4),1,0)</f>
        <v>0</v>
      </c>
      <c r="V200" t="str">
        <f ca="1">IF(U200=1,SUM($U$10:U200),"")</f>
        <v/>
      </c>
    </row>
    <row r="201" spans="2:22">
      <c r="B201" s="8" t="str">
        <f>IF(C201="","",COUNT($C$10:C201))</f>
        <v/>
      </c>
      <c r="C201" s="20"/>
      <c r="D201" s="11"/>
      <c r="E201" s="9"/>
      <c r="F201" s="21" t="str">
        <f>IF(E201="","",IFERROR(INDEX(食材マスタ!$D$10:$D$309,MATCH(E201,食材マスタ!$C$10:$C$309,0)),"※コード未登録"))</f>
        <v/>
      </c>
      <c r="G201" s="16"/>
      <c r="H201" s="8" t="str">
        <f>IF(E201="","",IFERROR(INDEX(食材マスタ!$H$10:$H$309,MATCH(E201,食材マスタ!$C$10:$C$309,0)),""))</f>
        <v/>
      </c>
      <c r="I201" s="15" t="str">
        <f>IF(E201="","",IFERROR(INDEX(食材マスタ!$K$10:$K$309,MATCH(E201,食材マスタ!$C$10:$C$309,0)),""))</f>
        <v/>
      </c>
      <c r="J201" s="15" t="str">
        <f t="shared" si="10"/>
        <v/>
      </c>
      <c r="K201" s="20"/>
      <c r="L201" s="8" t="str">
        <f t="shared" si="11"/>
        <v/>
      </c>
      <c r="M201" s="9"/>
      <c r="N201" s="13" t="str">
        <f t="shared" si="12"/>
        <v/>
      </c>
      <c r="O201" s="22" t="str">
        <f t="shared" ca="1" si="13"/>
        <v/>
      </c>
      <c r="P201" s="17" t="str">
        <f t="shared" si="14"/>
        <v/>
      </c>
      <c r="Q201" s="11"/>
      <c r="R201" s="19"/>
      <c r="S201" s="19"/>
      <c r="U201">
        <f ca="1">IF(AND(ISNUMBER(O201),O201&lt;=設定!$C$4),1,0)</f>
        <v>0</v>
      </c>
      <c r="V201" t="str">
        <f ca="1">IF(U201=1,SUM($U$10:U201),"")</f>
        <v/>
      </c>
    </row>
    <row r="202" spans="2:22">
      <c r="B202" s="8" t="str">
        <f>IF(C202="","",COUNT($C$10:C202))</f>
        <v/>
      </c>
      <c r="C202" s="20"/>
      <c r="D202" s="11"/>
      <c r="E202" s="9"/>
      <c r="F202" s="21" t="str">
        <f>IF(E202="","",IFERROR(INDEX(食材マスタ!$D$10:$D$309,MATCH(E202,食材マスタ!$C$10:$C$309,0)),"※コード未登録"))</f>
        <v/>
      </c>
      <c r="G202" s="16"/>
      <c r="H202" s="8" t="str">
        <f>IF(E202="","",IFERROR(INDEX(食材マスタ!$H$10:$H$309,MATCH(E202,食材マスタ!$C$10:$C$309,0)),""))</f>
        <v/>
      </c>
      <c r="I202" s="15" t="str">
        <f>IF(E202="","",IFERROR(INDEX(食材マスタ!$K$10:$K$309,MATCH(E202,食材マスタ!$C$10:$C$309,0)),""))</f>
        <v/>
      </c>
      <c r="J202" s="15" t="str">
        <f t="shared" ref="J202:J265" si="15">IF(OR(G202="",I202=""),"",ROUND(ABS(G202)*I202,0))</f>
        <v/>
      </c>
      <c r="K202" s="20"/>
      <c r="L202" s="8" t="str">
        <f t="shared" ref="L202:L265" si="16">IF(AND(D202="入庫",E202&lt;&gt;""),E202&amp;"-"&amp;TEXT(ROW()-9,"0000"),"")</f>
        <v/>
      </c>
      <c r="M202" s="9"/>
      <c r="N202" s="13" t="str">
        <f t="shared" ref="N202:N265" si="17">IF(L202="","",G202-SUMIFS($G$10:$G$1009,$M$10:$M$1009,L202,$D$10:$D$1009,"出庫")-SUMIFS($G$10:$G$1009,$M$10:$M$1009,L202,$D$10:$D$1009,"廃棄")+SUMIFS($G$10:$G$1009,$M$10:$M$1009,L202,$D$10:$D$1009,"棚卸調整"))</f>
        <v/>
      </c>
      <c r="O202" s="22" t="str">
        <f t="shared" ref="O202:O265" ca="1" si="18">IF(OR(L202="",K202=""),"",IF(N202&lt;=0,"",K202-TODAY()))</f>
        <v/>
      </c>
      <c r="P202" s="17" t="str">
        <f t="shared" ref="P202:P265" si="19">IF(E202="","",IF(F202="※コード未登録","コード未登録",IF(AND(OR(D202="出庫",D202="廃棄"),M202=""),"ロット未指定",IF(AND(M202&lt;&gt;"",LEFT(M202,LEN(E202)+1)&lt;&gt;E202&amp;"-"),"ロット違い",IF(AND(L202&lt;&gt;"",N202&lt;0),"ロット残マイナス","")))))</f>
        <v/>
      </c>
      <c r="Q202" s="11"/>
      <c r="R202" s="19"/>
      <c r="S202" s="19"/>
      <c r="U202">
        <f ca="1">IF(AND(ISNUMBER(O202),O202&lt;=設定!$C$4),1,0)</f>
        <v>0</v>
      </c>
      <c r="V202" t="str">
        <f ca="1">IF(U202=1,SUM($U$10:U202),"")</f>
        <v/>
      </c>
    </row>
    <row r="203" spans="2:22">
      <c r="B203" s="8" t="str">
        <f>IF(C203="","",COUNT($C$10:C203))</f>
        <v/>
      </c>
      <c r="C203" s="20"/>
      <c r="D203" s="11"/>
      <c r="E203" s="9"/>
      <c r="F203" s="21" t="str">
        <f>IF(E203="","",IFERROR(INDEX(食材マスタ!$D$10:$D$309,MATCH(E203,食材マスタ!$C$10:$C$309,0)),"※コード未登録"))</f>
        <v/>
      </c>
      <c r="G203" s="16"/>
      <c r="H203" s="8" t="str">
        <f>IF(E203="","",IFERROR(INDEX(食材マスタ!$H$10:$H$309,MATCH(E203,食材マスタ!$C$10:$C$309,0)),""))</f>
        <v/>
      </c>
      <c r="I203" s="15" t="str">
        <f>IF(E203="","",IFERROR(INDEX(食材マスタ!$K$10:$K$309,MATCH(E203,食材マスタ!$C$10:$C$309,0)),""))</f>
        <v/>
      </c>
      <c r="J203" s="15" t="str">
        <f t="shared" si="15"/>
        <v/>
      </c>
      <c r="K203" s="20"/>
      <c r="L203" s="8" t="str">
        <f t="shared" si="16"/>
        <v/>
      </c>
      <c r="M203" s="9"/>
      <c r="N203" s="13" t="str">
        <f t="shared" si="17"/>
        <v/>
      </c>
      <c r="O203" s="22" t="str">
        <f t="shared" ca="1" si="18"/>
        <v/>
      </c>
      <c r="P203" s="17" t="str">
        <f t="shared" si="19"/>
        <v/>
      </c>
      <c r="Q203" s="11"/>
      <c r="R203" s="19"/>
      <c r="S203" s="19"/>
      <c r="U203">
        <f ca="1">IF(AND(ISNUMBER(O203),O203&lt;=設定!$C$4),1,0)</f>
        <v>0</v>
      </c>
      <c r="V203" t="str">
        <f ca="1">IF(U203=1,SUM($U$10:U203),"")</f>
        <v/>
      </c>
    </row>
    <row r="204" spans="2:22">
      <c r="B204" s="8" t="str">
        <f>IF(C204="","",COUNT($C$10:C204))</f>
        <v/>
      </c>
      <c r="C204" s="20"/>
      <c r="D204" s="11"/>
      <c r="E204" s="9"/>
      <c r="F204" s="21" t="str">
        <f>IF(E204="","",IFERROR(INDEX(食材マスタ!$D$10:$D$309,MATCH(E204,食材マスタ!$C$10:$C$309,0)),"※コード未登録"))</f>
        <v/>
      </c>
      <c r="G204" s="16"/>
      <c r="H204" s="8" t="str">
        <f>IF(E204="","",IFERROR(INDEX(食材マスタ!$H$10:$H$309,MATCH(E204,食材マスタ!$C$10:$C$309,0)),""))</f>
        <v/>
      </c>
      <c r="I204" s="15" t="str">
        <f>IF(E204="","",IFERROR(INDEX(食材マスタ!$K$10:$K$309,MATCH(E204,食材マスタ!$C$10:$C$309,0)),""))</f>
        <v/>
      </c>
      <c r="J204" s="15" t="str">
        <f t="shared" si="15"/>
        <v/>
      </c>
      <c r="K204" s="20"/>
      <c r="L204" s="8" t="str">
        <f t="shared" si="16"/>
        <v/>
      </c>
      <c r="M204" s="9"/>
      <c r="N204" s="13" t="str">
        <f t="shared" si="17"/>
        <v/>
      </c>
      <c r="O204" s="22" t="str">
        <f t="shared" ca="1" si="18"/>
        <v/>
      </c>
      <c r="P204" s="17" t="str">
        <f t="shared" si="19"/>
        <v/>
      </c>
      <c r="Q204" s="11"/>
      <c r="R204" s="19"/>
      <c r="S204" s="19"/>
      <c r="U204">
        <f ca="1">IF(AND(ISNUMBER(O204),O204&lt;=設定!$C$4),1,0)</f>
        <v>0</v>
      </c>
      <c r="V204" t="str">
        <f ca="1">IF(U204=1,SUM($U$10:U204),"")</f>
        <v/>
      </c>
    </row>
    <row r="205" spans="2:22">
      <c r="B205" s="8" t="str">
        <f>IF(C205="","",COUNT($C$10:C205))</f>
        <v/>
      </c>
      <c r="C205" s="20"/>
      <c r="D205" s="11"/>
      <c r="E205" s="9"/>
      <c r="F205" s="21" t="str">
        <f>IF(E205="","",IFERROR(INDEX(食材マスタ!$D$10:$D$309,MATCH(E205,食材マスタ!$C$10:$C$309,0)),"※コード未登録"))</f>
        <v/>
      </c>
      <c r="G205" s="16"/>
      <c r="H205" s="8" t="str">
        <f>IF(E205="","",IFERROR(INDEX(食材マスタ!$H$10:$H$309,MATCH(E205,食材マスタ!$C$10:$C$309,0)),""))</f>
        <v/>
      </c>
      <c r="I205" s="15" t="str">
        <f>IF(E205="","",IFERROR(INDEX(食材マスタ!$K$10:$K$309,MATCH(E205,食材マスタ!$C$10:$C$309,0)),""))</f>
        <v/>
      </c>
      <c r="J205" s="15" t="str">
        <f t="shared" si="15"/>
        <v/>
      </c>
      <c r="K205" s="20"/>
      <c r="L205" s="8" t="str">
        <f t="shared" si="16"/>
        <v/>
      </c>
      <c r="M205" s="9"/>
      <c r="N205" s="13" t="str">
        <f t="shared" si="17"/>
        <v/>
      </c>
      <c r="O205" s="22" t="str">
        <f t="shared" ca="1" si="18"/>
        <v/>
      </c>
      <c r="P205" s="17" t="str">
        <f t="shared" si="19"/>
        <v/>
      </c>
      <c r="Q205" s="11"/>
      <c r="R205" s="19"/>
      <c r="S205" s="19"/>
      <c r="U205">
        <f ca="1">IF(AND(ISNUMBER(O205),O205&lt;=設定!$C$4),1,0)</f>
        <v>0</v>
      </c>
      <c r="V205" t="str">
        <f ca="1">IF(U205=1,SUM($U$10:U205),"")</f>
        <v/>
      </c>
    </row>
    <row r="206" spans="2:22">
      <c r="B206" s="8" t="str">
        <f>IF(C206="","",COUNT($C$10:C206))</f>
        <v/>
      </c>
      <c r="C206" s="20"/>
      <c r="D206" s="11"/>
      <c r="E206" s="9"/>
      <c r="F206" s="21" t="str">
        <f>IF(E206="","",IFERROR(INDEX(食材マスタ!$D$10:$D$309,MATCH(E206,食材マスタ!$C$10:$C$309,0)),"※コード未登録"))</f>
        <v/>
      </c>
      <c r="G206" s="16"/>
      <c r="H206" s="8" t="str">
        <f>IF(E206="","",IFERROR(INDEX(食材マスタ!$H$10:$H$309,MATCH(E206,食材マスタ!$C$10:$C$309,0)),""))</f>
        <v/>
      </c>
      <c r="I206" s="15" t="str">
        <f>IF(E206="","",IFERROR(INDEX(食材マスタ!$K$10:$K$309,MATCH(E206,食材マスタ!$C$10:$C$309,0)),""))</f>
        <v/>
      </c>
      <c r="J206" s="15" t="str">
        <f t="shared" si="15"/>
        <v/>
      </c>
      <c r="K206" s="20"/>
      <c r="L206" s="8" t="str">
        <f t="shared" si="16"/>
        <v/>
      </c>
      <c r="M206" s="9"/>
      <c r="N206" s="13" t="str">
        <f t="shared" si="17"/>
        <v/>
      </c>
      <c r="O206" s="22" t="str">
        <f t="shared" ca="1" si="18"/>
        <v/>
      </c>
      <c r="P206" s="17" t="str">
        <f t="shared" si="19"/>
        <v/>
      </c>
      <c r="Q206" s="11"/>
      <c r="R206" s="19"/>
      <c r="S206" s="19"/>
      <c r="U206">
        <f ca="1">IF(AND(ISNUMBER(O206),O206&lt;=設定!$C$4),1,0)</f>
        <v>0</v>
      </c>
      <c r="V206" t="str">
        <f ca="1">IF(U206=1,SUM($U$10:U206),"")</f>
        <v/>
      </c>
    </row>
    <row r="207" spans="2:22">
      <c r="B207" s="8" t="str">
        <f>IF(C207="","",COUNT($C$10:C207))</f>
        <v/>
      </c>
      <c r="C207" s="20"/>
      <c r="D207" s="11"/>
      <c r="E207" s="9"/>
      <c r="F207" s="21" t="str">
        <f>IF(E207="","",IFERROR(INDEX(食材マスタ!$D$10:$D$309,MATCH(E207,食材マスタ!$C$10:$C$309,0)),"※コード未登録"))</f>
        <v/>
      </c>
      <c r="G207" s="16"/>
      <c r="H207" s="8" t="str">
        <f>IF(E207="","",IFERROR(INDEX(食材マスタ!$H$10:$H$309,MATCH(E207,食材マスタ!$C$10:$C$309,0)),""))</f>
        <v/>
      </c>
      <c r="I207" s="15" t="str">
        <f>IF(E207="","",IFERROR(INDEX(食材マスタ!$K$10:$K$309,MATCH(E207,食材マスタ!$C$10:$C$309,0)),""))</f>
        <v/>
      </c>
      <c r="J207" s="15" t="str">
        <f t="shared" si="15"/>
        <v/>
      </c>
      <c r="K207" s="20"/>
      <c r="L207" s="8" t="str">
        <f t="shared" si="16"/>
        <v/>
      </c>
      <c r="M207" s="9"/>
      <c r="N207" s="13" t="str">
        <f t="shared" si="17"/>
        <v/>
      </c>
      <c r="O207" s="22" t="str">
        <f t="shared" ca="1" si="18"/>
        <v/>
      </c>
      <c r="P207" s="17" t="str">
        <f t="shared" si="19"/>
        <v/>
      </c>
      <c r="Q207" s="11"/>
      <c r="R207" s="19"/>
      <c r="S207" s="19"/>
      <c r="U207">
        <f ca="1">IF(AND(ISNUMBER(O207),O207&lt;=設定!$C$4),1,0)</f>
        <v>0</v>
      </c>
      <c r="V207" t="str">
        <f ca="1">IF(U207=1,SUM($U$10:U207),"")</f>
        <v/>
      </c>
    </row>
    <row r="208" spans="2:22">
      <c r="B208" s="8" t="str">
        <f>IF(C208="","",COUNT($C$10:C208))</f>
        <v/>
      </c>
      <c r="C208" s="20"/>
      <c r="D208" s="11"/>
      <c r="E208" s="9"/>
      <c r="F208" s="21" t="str">
        <f>IF(E208="","",IFERROR(INDEX(食材マスタ!$D$10:$D$309,MATCH(E208,食材マスタ!$C$10:$C$309,0)),"※コード未登録"))</f>
        <v/>
      </c>
      <c r="G208" s="16"/>
      <c r="H208" s="8" t="str">
        <f>IF(E208="","",IFERROR(INDEX(食材マスタ!$H$10:$H$309,MATCH(E208,食材マスタ!$C$10:$C$309,0)),""))</f>
        <v/>
      </c>
      <c r="I208" s="15" t="str">
        <f>IF(E208="","",IFERROR(INDEX(食材マスタ!$K$10:$K$309,MATCH(E208,食材マスタ!$C$10:$C$309,0)),""))</f>
        <v/>
      </c>
      <c r="J208" s="15" t="str">
        <f t="shared" si="15"/>
        <v/>
      </c>
      <c r="K208" s="20"/>
      <c r="L208" s="8" t="str">
        <f t="shared" si="16"/>
        <v/>
      </c>
      <c r="M208" s="9"/>
      <c r="N208" s="13" t="str">
        <f t="shared" si="17"/>
        <v/>
      </c>
      <c r="O208" s="22" t="str">
        <f t="shared" ca="1" si="18"/>
        <v/>
      </c>
      <c r="P208" s="17" t="str">
        <f t="shared" si="19"/>
        <v/>
      </c>
      <c r="Q208" s="11"/>
      <c r="R208" s="19"/>
      <c r="S208" s="19"/>
      <c r="U208">
        <f ca="1">IF(AND(ISNUMBER(O208),O208&lt;=設定!$C$4),1,0)</f>
        <v>0</v>
      </c>
      <c r="V208" t="str">
        <f ca="1">IF(U208=1,SUM($U$10:U208),"")</f>
        <v/>
      </c>
    </row>
    <row r="209" spans="2:22">
      <c r="B209" s="8" t="str">
        <f>IF(C209="","",COUNT($C$10:C209))</f>
        <v/>
      </c>
      <c r="C209" s="20"/>
      <c r="D209" s="11"/>
      <c r="E209" s="9"/>
      <c r="F209" s="21" t="str">
        <f>IF(E209="","",IFERROR(INDEX(食材マスタ!$D$10:$D$309,MATCH(E209,食材マスタ!$C$10:$C$309,0)),"※コード未登録"))</f>
        <v/>
      </c>
      <c r="G209" s="16"/>
      <c r="H209" s="8" t="str">
        <f>IF(E209="","",IFERROR(INDEX(食材マスタ!$H$10:$H$309,MATCH(E209,食材マスタ!$C$10:$C$309,0)),""))</f>
        <v/>
      </c>
      <c r="I209" s="15" t="str">
        <f>IF(E209="","",IFERROR(INDEX(食材マスタ!$K$10:$K$309,MATCH(E209,食材マスタ!$C$10:$C$309,0)),""))</f>
        <v/>
      </c>
      <c r="J209" s="15" t="str">
        <f t="shared" si="15"/>
        <v/>
      </c>
      <c r="K209" s="20"/>
      <c r="L209" s="8" t="str">
        <f t="shared" si="16"/>
        <v/>
      </c>
      <c r="M209" s="9"/>
      <c r="N209" s="13" t="str">
        <f t="shared" si="17"/>
        <v/>
      </c>
      <c r="O209" s="22" t="str">
        <f t="shared" ca="1" si="18"/>
        <v/>
      </c>
      <c r="P209" s="17" t="str">
        <f t="shared" si="19"/>
        <v/>
      </c>
      <c r="Q209" s="11"/>
      <c r="R209" s="19"/>
      <c r="S209" s="19"/>
      <c r="U209">
        <f ca="1">IF(AND(ISNUMBER(O209),O209&lt;=設定!$C$4),1,0)</f>
        <v>0</v>
      </c>
      <c r="V209" t="str">
        <f ca="1">IF(U209=1,SUM($U$10:U209),"")</f>
        <v/>
      </c>
    </row>
    <row r="210" spans="2:22">
      <c r="B210" s="8" t="str">
        <f>IF(C210="","",COUNT($C$10:C210))</f>
        <v/>
      </c>
      <c r="C210" s="20"/>
      <c r="D210" s="11"/>
      <c r="E210" s="9"/>
      <c r="F210" s="21" t="str">
        <f>IF(E210="","",IFERROR(INDEX(食材マスタ!$D$10:$D$309,MATCH(E210,食材マスタ!$C$10:$C$309,0)),"※コード未登録"))</f>
        <v/>
      </c>
      <c r="G210" s="16"/>
      <c r="H210" s="8" t="str">
        <f>IF(E210="","",IFERROR(INDEX(食材マスタ!$H$10:$H$309,MATCH(E210,食材マスタ!$C$10:$C$309,0)),""))</f>
        <v/>
      </c>
      <c r="I210" s="15" t="str">
        <f>IF(E210="","",IFERROR(INDEX(食材マスタ!$K$10:$K$309,MATCH(E210,食材マスタ!$C$10:$C$309,0)),""))</f>
        <v/>
      </c>
      <c r="J210" s="15" t="str">
        <f t="shared" si="15"/>
        <v/>
      </c>
      <c r="K210" s="20"/>
      <c r="L210" s="8" t="str">
        <f t="shared" si="16"/>
        <v/>
      </c>
      <c r="M210" s="9"/>
      <c r="N210" s="13" t="str">
        <f t="shared" si="17"/>
        <v/>
      </c>
      <c r="O210" s="22" t="str">
        <f t="shared" ca="1" si="18"/>
        <v/>
      </c>
      <c r="P210" s="17" t="str">
        <f t="shared" si="19"/>
        <v/>
      </c>
      <c r="Q210" s="11"/>
      <c r="R210" s="19"/>
      <c r="S210" s="19"/>
      <c r="U210">
        <f ca="1">IF(AND(ISNUMBER(O210),O210&lt;=設定!$C$4),1,0)</f>
        <v>0</v>
      </c>
      <c r="V210" t="str">
        <f ca="1">IF(U210=1,SUM($U$10:U210),"")</f>
        <v/>
      </c>
    </row>
    <row r="211" spans="2:22">
      <c r="B211" s="8" t="str">
        <f>IF(C211="","",COUNT($C$10:C211))</f>
        <v/>
      </c>
      <c r="C211" s="20"/>
      <c r="D211" s="11"/>
      <c r="E211" s="9"/>
      <c r="F211" s="21" t="str">
        <f>IF(E211="","",IFERROR(INDEX(食材マスタ!$D$10:$D$309,MATCH(E211,食材マスタ!$C$10:$C$309,0)),"※コード未登録"))</f>
        <v/>
      </c>
      <c r="G211" s="16"/>
      <c r="H211" s="8" t="str">
        <f>IF(E211="","",IFERROR(INDEX(食材マスタ!$H$10:$H$309,MATCH(E211,食材マスタ!$C$10:$C$309,0)),""))</f>
        <v/>
      </c>
      <c r="I211" s="15" t="str">
        <f>IF(E211="","",IFERROR(INDEX(食材マスタ!$K$10:$K$309,MATCH(E211,食材マスタ!$C$10:$C$309,0)),""))</f>
        <v/>
      </c>
      <c r="J211" s="15" t="str">
        <f t="shared" si="15"/>
        <v/>
      </c>
      <c r="K211" s="20"/>
      <c r="L211" s="8" t="str">
        <f t="shared" si="16"/>
        <v/>
      </c>
      <c r="M211" s="9"/>
      <c r="N211" s="13" t="str">
        <f t="shared" si="17"/>
        <v/>
      </c>
      <c r="O211" s="22" t="str">
        <f t="shared" ca="1" si="18"/>
        <v/>
      </c>
      <c r="P211" s="17" t="str">
        <f t="shared" si="19"/>
        <v/>
      </c>
      <c r="Q211" s="11"/>
      <c r="R211" s="19"/>
      <c r="S211" s="19"/>
      <c r="U211">
        <f ca="1">IF(AND(ISNUMBER(O211),O211&lt;=設定!$C$4),1,0)</f>
        <v>0</v>
      </c>
      <c r="V211" t="str">
        <f ca="1">IF(U211=1,SUM($U$10:U211),"")</f>
        <v/>
      </c>
    </row>
    <row r="212" spans="2:22">
      <c r="B212" s="8" t="str">
        <f>IF(C212="","",COUNT($C$10:C212))</f>
        <v/>
      </c>
      <c r="C212" s="20"/>
      <c r="D212" s="11"/>
      <c r="E212" s="9"/>
      <c r="F212" s="21" t="str">
        <f>IF(E212="","",IFERROR(INDEX(食材マスタ!$D$10:$D$309,MATCH(E212,食材マスタ!$C$10:$C$309,0)),"※コード未登録"))</f>
        <v/>
      </c>
      <c r="G212" s="16"/>
      <c r="H212" s="8" t="str">
        <f>IF(E212="","",IFERROR(INDEX(食材マスタ!$H$10:$H$309,MATCH(E212,食材マスタ!$C$10:$C$309,0)),""))</f>
        <v/>
      </c>
      <c r="I212" s="15" t="str">
        <f>IF(E212="","",IFERROR(INDEX(食材マスタ!$K$10:$K$309,MATCH(E212,食材マスタ!$C$10:$C$309,0)),""))</f>
        <v/>
      </c>
      <c r="J212" s="15" t="str">
        <f t="shared" si="15"/>
        <v/>
      </c>
      <c r="K212" s="20"/>
      <c r="L212" s="8" t="str">
        <f t="shared" si="16"/>
        <v/>
      </c>
      <c r="M212" s="9"/>
      <c r="N212" s="13" t="str">
        <f t="shared" si="17"/>
        <v/>
      </c>
      <c r="O212" s="22" t="str">
        <f t="shared" ca="1" si="18"/>
        <v/>
      </c>
      <c r="P212" s="17" t="str">
        <f t="shared" si="19"/>
        <v/>
      </c>
      <c r="Q212" s="11"/>
      <c r="R212" s="19"/>
      <c r="S212" s="19"/>
      <c r="U212">
        <f ca="1">IF(AND(ISNUMBER(O212),O212&lt;=設定!$C$4),1,0)</f>
        <v>0</v>
      </c>
      <c r="V212" t="str">
        <f ca="1">IF(U212=1,SUM($U$10:U212),"")</f>
        <v/>
      </c>
    </row>
    <row r="213" spans="2:22">
      <c r="B213" s="8" t="str">
        <f>IF(C213="","",COUNT($C$10:C213))</f>
        <v/>
      </c>
      <c r="C213" s="20"/>
      <c r="D213" s="11"/>
      <c r="E213" s="9"/>
      <c r="F213" s="21" t="str">
        <f>IF(E213="","",IFERROR(INDEX(食材マスタ!$D$10:$D$309,MATCH(E213,食材マスタ!$C$10:$C$309,0)),"※コード未登録"))</f>
        <v/>
      </c>
      <c r="G213" s="16"/>
      <c r="H213" s="8" t="str">
        <f>IF(E213="","",IFERROR(INDEX(食材マスタ!$H$10:$H$309,MATCH(E213,食材マスタ!$C$10:$C$309,0)),""))</f>
        <v/>
      </c>
      <c r="I213" s="15" t="str">
        <f>IF(E213="","",IFERROR(INDEX(食材マスタ!$K$10:$K$309,MATCH(E213,食材マスタ!$C$10:$C$309,0)),""))</f>
        <v/>
      </c>
      <c r="J213" s="15" t="str">
        <f t="shared" si="15"/>
        <v/>
      </c>
      <c r="K213" s="20"/>
      <c r="L213" s="8" t="str">
        <f t="shared" si="16"/>
        <v/>
      </c>
      <c r="M213" s="9"/>
      <c r="N213" s="13" t="str">
        <f t="shared" si="17"/>
        <v/>
      </c>
      <c r="O213" s="22" t="str">
        <f t="shared" ca="1" si="18"/>
        <v/>
      </c>
      <c r="P213" s="17" t="str">
        <f t="shared" si="19"/>
        <v/>
      </c>
      <c r="Q213" s="11"/>
      <c r="R213" s="19"/>
      <c r="S213" s="19"/>
      <c r="U213">
        <f ca="1">IF(AND(ISNUMBER(O213),O213&lt;=設定!$C$4),1,0)</f>
        <v>0</v>
      </c>
      <c r="V213" t="str">
        <f ca="1">IF(U213=1,SUM($U$10:U213),"")</f>
        <v/>
      </c>
    </row>
    <row r="214" spans="2:22">
      <c r="B214" s="8" t="str">
        <f>IF(C214="","",COUNT($C$10:C214))</f>
        <v/>
      </c>
      <c r="C214" s="20"/>
      <c r="D214" s="11"/>
      <c r="E214" s="9"/>
      <c r="F214" s="21" t="str">
        <f>IF(E214="","",IFERROR(INDEX(食材マスタ!$D$10:$D$309,MATCH(E214,食材マスタ!$C$10:$C$309,0)),"※コード未登録"))</f>
        <v/>
      </c>
      <c r="G214" s="16"/>
      <c r="H214" s="8" t="str">
        <f>IF(E214="","",IFERROR(INDEX(食材マスタ!$H$10:$H$309,MATCH(E214,食材マスタ!$C$10:$C$309,0)),""))</f>
        <v/>
      </c>
      <c r="I214" s="15" t="str">
        <f>IF(E214="","",IFERROR(INDEX(食材マスタ!$K$10:$K$309,MATCH(E214,食材マスタ!$C$10:$C$309,0)),""))</f>
        <v/>
      </c>
      <c r="J214" s="15" t="str">
        <f t="shared" si="15"/>
        <v/>
      </c>
      <c r="K214" s="20"/>
      <c r="L214" s="8" t="str">
        <f t="shared" si="16"/>
        <v/>
      </c>
      <c r="M214" s="9"/>
      <c r="N214" s="13" t="str">
        <f t="shared" si="17"/>
        <v/>
      </c>
      <c r="O214" s="22" t="str">
        <f t="shared" ca="1" si="18"/>
        <v/>
      </c>
      <c r="P214" s="17" t="str">
        <f t="shared" si="19"/>
        <v/>
      </c>
      <c r="Q214" s="11"/>
      <c r="R214" s="19"/>
      <c r="S214" s="19"/>
      <c r="U214">
        <f ca="1">IF(AND(ISNUMBER(O214),O214&lt;=設定!$C$4),1,0)</f>
        <v>0</v>
      </c>
      <c r="V214" t="str">
        <f ca="1">IF(U214=1,SUM($U$10:U214),"")</f>
        <v/>
      </c>
    </row>
    <row r="215" spans="2:22">
      <c r="B215" s="8" t="str">
        <f>IF(C215="","",COUNT($C$10:C215))</f>
        <v/>
      </c>
      <c r="C215" s="20"/>
      <c r="D215" s="11"/>
      <c r="E215" s="9"/>
      <c r="F215" s="21" t="str">
        <f>IF(E215="","",IFERROR(INDEX(食材マスタ!$D$10:$D$309,MATCH(E215,食材マスタ!$C$10:$C$309,0)),"※コード未登録"))</f>
        <v/>
      </c>
      <c r="G215" s="16"/>
      <c r="H215" s="8" t="str">
        <f>IF(E215="","",IFERROR(INDEX(食材マスタ!$H$10:$H$309,MATCH(E215,食材マスタ!$C$10:$C$309,0)),""))</f>
        <v/>
      </c>
      <c r="I215" s="15" t="str">
        <f>IF(E215="","",IFERROR(INDEX(食材マスタ!$K$10:$K$309,MATCH(E215,食材マスタ!$C$10:$C$309,0)),""))</f>
        <v/>
      </c>
      <c r="J215" s="15" t="str">
        <f t="shared" si="15"/>
        <v/>
      </c>
      <c r="K215" s="20"/>
      <c r="L215" s="8" t="str">
        <f t="shared" si="16"/>
        <v/>
      </c>
      <c r="M215" s="9"/>
      <c r="N215" s="13" t="str">
        <f t="shared" si="17"/>
        <v/>
      </c>
      <c r="O215" s="22" t="str">
        <f t="shared" ca="1" si="18"/>
        <v/>
      </c>
      <c r="P215" s="17" t="str">
        <f t="shared" si="19"/>
        <v/>
      </c>
      <c r="Q215" s="11"/>
      <c r="R215" s="19"/>
      <c r="S215" s="19"/>
      <c r="U215">
        <f ca="1">IF(AND(ISNUMBER(O215),O215&lt;=設定!$C$4),1,0)</f>
        <v>0</v>
      </c>
      <c r="V215" t="str">
        <f ca="1">IF(U215=1,SUM($U$10:U215),"")</f>
        <v/>
      </c>
    </row>
    <row r="216" spans="2:22">
      <c r="B216" s="8" t="str">
        <f>IF(C216="","",COUNT($C$10:C216))</f>
        <v/>
      </c>
      <c r="C216" s="20"/>
      <c r="D216" s="11"/>
      <c r="E216" s="9"/>
      <c r="F216" s="21" t="str">
        <f>IF(E216="","",IFERROR(INDEX(食材マスタ!$D$10:$D$309,MATCH(E216,食材マスタ!$C$10:$C$309,0)),"※コード未登録"))</f>
        <v/>
      </c>
      <c r="G216" s="16"/>
      <c r="H216" s="8" t="str">
        <f>IF(E216="","",IFERROR(INDEX(食材マスタ!$H$10:$H$309,MATCH(E216,食材マスタ!$C$10:$C$309,0)),""))</f>
        <v/>
      </c>
      <c r="I216" s="15" t="str">
        <f>IF(E216="","",IFERROR(INDEX(食材マスタ!$K$10:$K$309,MATCH(E216,食材マスタ!$C$10:$C$309,0)),""))</f>
        <v/>
      </c>
      <c r="J216" s="15" t="str">
        <f t="shared" si="15"/>
        <v/>
      </c>
      <c r="K216" s="20"/>
      <c r="L216" s="8" t="str">
        <f t="shared" si="16"/>
        <v/>
      </c>
      <c r="M216" s="9"/>
      <c r="N216" s="13" t="str">
        <f t="shared" si="17"/>
        <v/>
      </c>
      <c r="O216" s="22" t="str">
        <f t="shared" ca="1" si="18"/>
        <v/>
      </c>
      <c r="P216" s="17" t="str">
        <f t="shared" si="19"/>
        <v/>
      </c>
      <c r="Q216" s="11"/>
      <c r="R216" s="19"/>
      <c r="S216" s="19"/>
      <c r="U216">
        <f ca="1">IF(AND(ISNUMBER(O216),O216&lt;=設定!$C$4),1,0)</f>
        <v>0</v>
      </c>
      <c r="V216" t="str">
        <f ca="1">IF(U216=1,SUM($U$10:U216),"")</f>
        <v/>
      </c>
    </row>
    <row r="217" spans="2:22">
      <c r="B217" s="8" t="str">
        <f>IF(C217="","",COUNT($C$10:C217))</f>
        <v/>
      </c>
      <c r="C217" s="20"/>
      <c r="D217" s="11"/>
      <c r="E217" s="9"/>
      <c r="F217" s="21" t="str">
        <f>IF(E217="","",IFERROR(INDEX(食材マスタ!$D$10:$D$309,MATCH(E217,食材マスタ!$C$10:$C$309,0)),"※コード未登録"))</f>
        <v/>
      </c>
      <c r="G217" s="16"/>
      <c r="H217" s="8" t="str">
        <f>IF(E217="","",IFERROR(INDEX(食材マスタ!$H$10:$H$309,MATCH(E217,食材マスタ!$C$10:$C$309,0)),""))</f>
        <v/>
      </c>
      <c r="I217" s="15" t="str">
        <f>IF(E217="","",IFERROR(INDEX(食材マスタ!$K$10:$K$309,MATCH(E217,食材マスタ!$C$10:$C$309,0)),""))</f>
        <v/>
      </c>
      <c r="J217" s="15" t="str">
        <f t="shared" si="15"/>
        <v/>
      </c>
      <c r="K217" s="20"/>
      <c r="L217" s="8" t="str">
        <f t="shared" si="16"/>
        <v/>
      </c>
      <c r="M217" s="9"/>
      <c r="N217" s="13" t="str">
        <f t="shared" si="17"/>
        <v/>
      </c>
      <c r="O217" s="22" t="str">
        <f t="shared" ca="1" si="18"/>
        <v/>
      </c>
      <c r="P217" s="17" t="str">
        <f t="shared" si="19"/>
        <v/>
      </c>
      <c r="Q217" s="11"/>
      <c r="R217" s="19"/>
      <c r="S217" s="19"/>
      <c r="U217">
        <f ca="1">IF(AND(ISNUMBER(O217),O217&lt;=設定!$C$4),1,0)</f>
        <v>0</v>
      </c>
      <c r="V217" t="str">
        <f ca="1">IF(U217=1,SUM($U$10:U217),"")</f>
        <v/>
      </c>
    </row>
    <row r="218" spans="2:22">
      <c r="B218" s="8" t="str">
        <f>IF(C218="","",COUNT($C$10:C218))</f>
        <v/>
      </c>
      <c r="C218" s="20"/>
      <c r="D218" s="11"/>
      <c r="E218" s="9"/>
      <c r="F218" s="21" t="str">
        <f>IF(E218="","",IFERROR(INDEX(食材マスタ!$D$10:$D$309,MATCH(E218,食材マスタ!$C$10:$C$309,0)),"※コード未登録"))</f>
        <v/>
      </c>
      <c r="G218" s="16"/>
      <c r="H218" s="8" t="str">
        <f>IF(E218="","",IFERROR(INDEX(食材マスタ!$H$10:$H$309,MATCH(E218,食材マスタ!$C$10:$C$309,0)),""))</f>
        <v/>
      </c>
      <c r="I218" s="15" t="str">
        <f>IF(E218="","",IFERROR(INDEX(食材マスタ!$K$10:$K$309,MATCH(E218,食材マスタ!$C$10:$C$309,0)),""))</f>
        <v/>
      </c>
      <c r="J218" s="15" t="str">
        <f t="shared" si="15"/>
        <v/>
      </c>
      <c r="K218" s="20"/>
      <c r="L218" s="8" t="str">
        <f t="shared" si="16"/>
        <v/>
      </c>
      <c r="M218" s="9"/>
      <c r="N218" s="13" t="str">
        <f t="shared" si="17"/>
        <v/>
      </c>
      <c r="O218" s="22" t="str">
        <f t="shared" ca="1" si="18"/>
        <v/>
      </c>
      <c r="P218" s="17" t="str">
        <f t="shared" si="19"/>
        <v/>
      </c>
      <c r="Q218" s="11"/>
      <c r="R218" s="19"/>
      <c r="S218" s="19"/>
      <c r="U218">
        <f ca="1">IF(AND(ISNUMBER(O218),O218&lt;=設定!$C$4),1,0)</f>
        <v>0</v>
      </c>
      <c r="V218" t="str">
        <f ca="1">IF(U218=1,SUM($U$10:U218),"")</f>
        <v/>
      </c>
    </row>
    <row r="219" spans="2:22">
      <c r="B219" s="8" t="str">
        <f>IF(C219="","",COUNT($C$10:C219))</f>
        <v/>
      </c>
      <c r="C219" s="20"/>
      <c r="D219" s="11"/>
      <c r="E219" s="9"/>
      <c r="F219" s="21" t="str">
        <f>IF(E219="","",IFERROR(INDEX(食材マスタ!$D$10:$D$309,MATCH(E219,食材マスタ!$C$10:$C$309,0)),"※コード未登録"))</f>
        <v/>
      </c>
      <c r="G219" s="16"/>
      <c r="H219" s="8" t="str">
        <f>IF(E219="","",IFERROR(INDEX(食材マスタ!$H$10:$H$309,MATCH(E219,食材マスタ!$C$10:$C$309,0)),""))</f>
        <v/>
      </c>
      <c r="I219" s="15" t="str">
        <f>IF(E219="","",IFERROR(INDEX(食材マスタ!$K$10:$K$309,MATCH(E219,食材マスタ!$C$10:$C$309,0)),""))</f>
        <v/>
      </c>
      <c r="J219" s="15" t="str">
        <f t="shared" si="15"/>
        <v/>
      </c>
      <c r="K219" s="20"/>
      <c r="L219" s="8" t="str">
        <f t="shared" si="16"/>
        <v/>
      </c>
      <c r="M219" s="9"/>
      <c r="N219" s="13" t="str">
        <f t="shared" si="17"/>
        <v/>
      </c>
      <c r="O219" s="22" t="str">
        <f t="shared" ca="1" si="18"/>
        <v/>
      </c>
      <c r="P219" s="17" t="str">
        <f t="shared" si="19"/>
        <v/>
      </c>
      <c r="Q219" s="11"/>
      <c r="R219" s="19"/>
      <c r="S219" s="19"/>
      <c r="U219">
        <f ca="1">IF(AND(ISNUMBER(O219),O219&lt;=設定!$C$4),1,0)</f>
        <v>0</v>
      </c>
      <c r="V219" t="str">
        <f ca="1">IF(U219=1,SUM($U$10:U219),"")</f>
        <v/>
      </c>
    </row>
    <row r="220" spans="2:22">
      <c r="B220" s="8" t="str">
        <f>IF(C220="","",COUNT($C$10:C220))</f>
        <v/>
      </c>
      <c r="C220" s="20"/>
      <c r="D220" s="11"/>
      <c r="E220" s="9"/>
      <c r="F220" s="21" t="str">
        <f>IF(E220="","",IFERROR(INDEX(食材マスタ!$D$10:$D$309,MATCH(E220,食材マスタ!$C$10:$C$309,0)),"※コード未登録"))</f>
        <v/>
      </c>
      <c r="G220" s="16"/>
      <c r="H220" s="8" t="str">
        <f>IF(E220="","",IFERROR(INDEX(食材マスタ!$H$10:$H$309,MATCH(E220,食材マスタ!$C$10:$C$309,0)),""))</f>
        <v/>
      </c>
      <c r="I220" s="15" t="str">
        <f>IF(E220="","",IFERROR(INDEX(食材マスタ!$K$10:$K$309,MATCH(E220,食材マスタ!$C$10:$C$309,0)),""))</f>
        <v/>
      </c>
      <c r="J220" s="15" t="str">
        <f t="shared" si="15"/>
        <v/>
      </c>
      <c r="K220" s="20"/>
      <c r="L220" s="8" t="str">
        <f t="shared" si="16"/>
        <v/>
      </c>
      <c r="M220" s="9"/>
      <c r="N220" s="13" t="str">
        <f t="shared" si="17"/>
        <v/>
      </c>
      <c r="O220" s="22" t="str">
        <f t="shared" ca="1" si="18"/>
        <v/>
      </c>
      <c r="P220" s="17" t="str">
        <f t="shared" si="19"/>
        <v/>
      </c>
      <c r="Q220" s="11"/>
      <c r="R220" s="19"/>
      <c r="S220" s="19"/>
      <c r="U220">
        <f ca="1">IF(AND(ISNUMBER(O220),O220&lt;=設定!$C$4),1,0)</f>
        <v>0</v>
      </c>
      <c r="V220" t="str">
        <f ca="1">IF(U220=1,SUM($U$10:U220),"")</f>
        <v/>
      </c>
    </row>
    <row r="221" spans="2:22">
      <c r="B221" s="8" t="str">
        <f>IF(C221="","",COUNT($C$10:C221))</f>
        <v/>
      </c>
      <c r="C221" s="20"/>
      <c r="D221" s="11"/>
      <c r="E221" s="9"/>
      <c r="F221" s="21" t="str">
        <f>IF(E221="","",IFERROR(INDEX(食材マスタ!$D$10:$D$309,MATCH(E221,食材マスタ!$C$10:$C$309,0)),"※コード未登録"))</f>
        <v/>
      </c>
      <c r="G221" s="16"/>
      <c r="H221" s="8" t="str">
        <f>IF(E221="","",IFERROR(INDEX(食材マスタ!$H$10:$H$309,MATCH(E221,食材マスタ!$C$10:$C$309,0)),""))</f>
        <v/>
      </c>
      <c r="I221" s="15" t="str">
        <f>IF(E221="","",IFERROR(INDEX(食材マスタ!$K$10:$K$309,MATCH(E221,食材マスタ!$C$10:$C$309,0)),""))</f>
        <v/>
      </c>
      <c r="J221" s="15" t="str">
        <f t="shared" si="15"/>
        <v/>
      </c>
      <c r="K221" s="20"/>
      <c r="L221" s="8" t="str">
        <f t="shared" si="16"/>
        <v/>
      </c>
      <c r="M221" s="9"/>
      <c r="N221" s="13" t="str">
        <f t="shared" si="17"/>
        <v/>
      </c>
      <c r="O221" s="22" t="str">
        <f t="shared" ca="1" si="18"/>
        <v/>
      </c>
      <c r="P221" s="17" t="str">
        <f t="shared" si="19"/>
        <v/>
      </c>
      <c r="Q221" s="11"/>
      <c r="R221" s="19"/>
      <c r="S221" s="19"/>
      <c r="U221">
        <f ca="1">IF(AND(ISNUMBER(O221),O221&lt;=設定!$C$4),1,0)</f>
        <v>0</v>
      </c>
      <c r="V221" t="str">
        <f ca="1">IF(U221=1,SUM($U$10:U221),"")</f>
        <v/>
      </c>
    </row>
    <row r="222" spans="2:22">
      <c r="B222" s="8" t="str">
        <f>IF(C222="","",COUNT($C$10:C222))</f>
        <v/>
      </c>
      <c r="C222" s="20"/>
      <c r="D222" s="11"/>
      <c r="E222" s="9"/>
      <c r="F222" s="21" t="str">
        <f>IF(E222="","",IFERROR(INDEX(食材マスタ!$D$10:$D$309,MATCH(E222,食材マスタ!$C$10:$C$309,0)),"※コード未登録"))</f>
        <v/>
      </c>
      <c r="G222" s="16"/>
      <c r="H222" s="8" t="str">
        <f>IF(E222="","",IFERROR(INDEX(食材マスタ!$H$10:$H$309,MATCH(E222,食材マスタ!$C$10:$C$309,0)),""))</f>
        <v/>
      </c>
      <c r="I222" s="15" t="str">
        <f>IF(E222="","",IFERROR(INDEX(食材マスタ!$K$10:$K$309,MATCH(E222,食材マスタ!$C$10:$C$309,0)),""))</f>
        <v/>
      </c>
      <c r="J222" s="15" t="str">
        <f t="shared" si="15"/>
        <v/>
      </c>
      <c r="K222" s="20"/>
      <c r="L222" s="8" t="str">
        <f t="shared" si="16"/>
        <v/>
      </c>
      <c r="M222" s="9"/>
      <c r="N222" s="13" t="str">
        <f t="shared" si="17"/>
        <v/>
      </c>
      <c r="O222" s="22" t="str">
        <f t="shared" ca="1" si="18"/>
        <v/>
      </c>
      <c r="P222" s="17" t="str">
        <f t="shared" si="19"/>
        <v/>
      </c>
      <c r="Q222" s="11"/>
      <c r="R222" s="19"/>
      <c r="S222" s="19"/>
      <c r="U222">
        <f ca="1">IF(AND(ISNUMBER(O222),O222&lt;=設定!$C$4),1,0)</f>
        <v>0</v>
      </c>
      <c r="V222" t="str">
        <f ca="1">IF(U222=1,SUM($U$10:U222),"")</f>
        <v/>
      </c>
    </row>
    <row r="223" spans="2:22">
      <c r="B223" s="8" t="str">
        <f>IF(C223="","",COUNT($C$10:C223))</f>
        <v/>
      </c>
      <c r="C223" s="20"/>
      <c r="D223" s="11"/>
      <c r="E223" s="9"/>
      <c r="F223" s="21" t="str">
        <f>IF(E223="","",IFERROR(INDEX(食材マスタ!$D$10:$D$309,MATCH(E223,食材マスタ!$C$10:$C$309,0)),"※コード未登録"))</f>
        <v/>
      </c>
      <c r="G223" s="16"/>
      <c r="H223" s="8" t="str">
        <f>IF(E223="","",IFERROR(INDEX(食材マスタ!$H$10:$H$309,MATCH(E223,食材マスタ!$C$10:$C$309,0)),""))</f>
        <v/>
      </c>
      <c r="I223" s="15" t="str">
        <f>IF(E223="","",IFERROR(INDEX(食材マスタ!$K$10:$K$309,MATCH(E223,食材マスタ!$C$10:$C$309,0)),""))</f>
        <v/>
      </c>
      <c r="J223" s="15" t="str">
        <f t="shared" si="15"/>
        <v/>
      </c>
      <c r="K223" s="20"/>
      <c r="L223" s="8" t="str">
        <f t="shared" si="16"/>
        <v/>
      </c>
      <c r="M223" s="9"/>
      <c r="N223" s="13" t="str">
        <f t="shared" si="17"/>
        <v/>
      </c>
      <c r="O223" s="22" t="str">
        <f t="shared" ca="1" si="18"/>
        <v/>
      </c>
      <c r="P223" s="17" t="str">
        <f t="shared" si="19"/>
        <v/>
      </c>
      <c r="Q223" s="11"/>
      <c r="R223" s="19"/>
      <c r="S223" s="19"/>
      <c r="U223">
        <f ca="1">IF(AND(ISNUMBER(O223),O223&lt;=設定!$C$4),1,0)</f>
        <v>0</v>
      </c>
      <c r="V223" t="str">
        <f ca="1">IF(U223=1,SUM($U$10:U223),"")</f>
        <v/>
      </c>
    </row>
    <row r="224" spans="2:22">
      <c r="B224" s="8" t="str">
        <f>IF(C224="","",COUNT($C$10:C224))</f>
        <v/>
      </c>
      <c r="C224" s="20"/>
      <c r="D224" s="11"/>
      <c r="E224" s="9"/>
      <c r="F224" s="21" t="str">
        <f>IF(E224="","",IFERROR(INDEX(食材マスタ!$D$10:$D$309,MATCH(E224,食材マスタ!$C$10:$C$309,0)),"※コード未登録"))</f>
        <v/>
      </c>
      <c r="G224" s="16"/>
      <c r="H224" s="8" t="str">
        <f>IF(E224="","",IFERROR(INDEX(食材マスタ!$H$10:$H$309,MATCH(E224,食材マスタ!$C$10:$C$309,0)),""))</f>
        <v/>
      </c>
      <c r="I224" s="15" t="str">
        <f>IF(E224="","",IFERROR(INDEX(食材マスタ!$K$10:$K$309,MATCH(E224,食材マスタ!$C$10:$C$309,0)),""))</f>
        <v/>
      </c>
      <c r="J224" s="15" t="str">
        <f t="shared" si="15"/>
        <v/>
      </c>
      <c r="K224" s="20"/>
      <c r="L224" s="8" t="str">
        <f t="shared" si="16"/>
        <v/>
      </c>
      <c r="M224" s="9"/>
      <c r="N224" s="13" t="str">
        <f t="shared" si="17"/>
        <v/>
      </c>
      <c r="O224" s="22" t="str">
        <f t="shared" ca="1" si="18"/>
        <v/>
      </c>
      <c r="P224" s="17" t="str">
        <f t="shared" si="19"/>
        <v/>
      </c>
      <c r="Q224" s="11"/>
      <c r="R224" s="19"/>
      <c r="S224" s="19"/>
      <c r="U224">
        <f ca="1">IF(AND(ISNUMBER(O224),O224&lt;=設定!$C$4),1,0)</f>
        <v>0</v>
      </c>
      <c r="V224" t="str">
        <f ca="1">IF(U224=1,SUM($U$10:U224),"")</f>
        <v/>
      </c>
    </row>
    <row r="225" spans="2:22">
      <c r="B225" s="8" t="str">
        <f>IF(C225="","",COUNT($C$10:C225))</f>
        <v/>
      </c>
      <c r="C225" s="20"/>
      <c r="D225" s="11"/>
      <c r="E225" s="9"/>
      <c r="F225" s="21" t="str">
        <f>IF(E225="","",IFERROR(INDEX(食材マスタ!$D$10:$D$309,MATCH(E225,食材マスタ!$C$10:$C$309,0)),"※コード未登録"))</f>
        <v/>
      </c>
      <c r="G225" s="16"/>
      <c r="H225" s="8" t="str">
        <f>IF(E225="","",IFERROR(INDEX(食材マスタ!$H$10:$H$309,MATCH(E225,食材マスタ!$C$10:$C$309,0)),""))</f>
        <v/>
      </c>
      <c r="I225" s="15" t="str">
        <f>IF(E225="","",IFERROR(INDEX(食材マスタ!$K$10:$K$309,MATCH(E225,食材マスタ!$C$10:$C$309,0)),""))</f>
        <v/>
      </c>
      <c r="J225" s="15" t="str">
        <f t="shared" si="15"/>
        <v/>
      </c>
      <c r="K225" s="20"/>
      <c r="L225" s="8" t="str">
        <f t="shared" si="16"/>
        <v/>
      </c>
      <c r="M225" s="9"/>
      <c r="N225" s="13" t="str">
        <f t="shared" si="17"/>
        <v/>
      </c>
      <c r="O225" s="22" t="str">
        <f t="shared" ca="1" si="18"/>
        <v/>
      </c>
      <c r="P225" s="17" t="str">
        <f t="shared" si="19"/>
        <v/>
      </c>
      <c r="Q225" s="11"/>
      <c r="R225" s="19"/>
      <c r="S225" s="19"/>
      <c r="U225">
        <f ca="1">IF(AND(ISNUMBER(O225),O225&lt;=設定!$C$4),1,0)</f>
        <v>0</v>
      </c>
      <c r="V225" t="str">
        <f ca="1">IF(U225=1,SUM($U$10:U225),"")</f>
        <v/>
      </c>
    </row>
    <row r="226" spans="2:22">
      <c r="B226" s="8" t="str">
        <f>IF(C226="","",COUNT($C$10:C226))</f>
        <v/>
      </c>
      <c r="C226" s="20"/>
      <c r="D226" s="11"/>
      <c r="E226" s="9"/>
      <c r="F226" s="21" t="str">
        <f>IF(E226="","",IFERROR(INDEX(食材マスタ!$D$10:$D$309,MATCH(E226,食材マスタ!$C$10:$C$309,0)),"※コード未登録"))</f>
        <v/>
      </c>
      <c r="G226" s="16"/>
      <c r="H226" s="8" t="str">
        <f>IF(E226="","",IFERROR(INDEX(食材マスタ!$H$10:$H$309,MATCH(E226,食材マスタ!$C$10:$C$309,0)),""))</f>
        <v/>
      </c>
      <c r="I226" s="15" t="str">
        <f>IF(E226="","",IFERROR(INDEX(食材マスタ!$K$10:$K$309,MATCH(E226,食材マスタ!$C$10:$C$309,0)),""))</f>
        <v/>
      </c>
      <c r="J226" s="15" t="str">
        <f t="shared" si="15"/>
        <v/>
      </c>
      <c r="K226" s="20"/>
      <c r="L226" s="8" t="str">
        <f t="shared" si="16"/>
        <v/>
      </c>
      <c r="M226" s="9"/>
      <c r="N226" s="13" t="str">
        <f t="shared" si="17"/>
        <v/>
      </c>
      <c r="O226" s="22" t="str">
        <f t="shared" ca="1" si="18"/>
        <v/>
      </c>
      <c r="P226" s="17" t="str">
        <f t="shared" si="19"/>
        <v/>
      </c>
      <c r="Q226" s="11"/>
      <c r="R226" s="19"/>
      <c r="S226" s="19"/>
      <c r="U226">
        <f ca="1">IF(AND(ISNUMBER(O226),O226&lt;=設定!$C$4),1,0)</f>
        <v>0</v>
      </c>
      <c r="V226" t="str">
        <f ca="1">IF(U226=1,SUM($U$10:U226),"")</f>
        <v/>
      </c>
    </row>
    <row r="227" spans="2:22">
      <c r="B227" s="8" t="str">
        <f>IF(C227="","",COUNT($C$10:C227))</f>
        <v/>
      </c>
      <c r="C227" s="20"/>
      <c r="D227" s="11"/>
      <c r="E227" s="9"/>
      <c r="F227" s="21" t="str">
        <f>IF(E227="","",IFERROR(INDEX(食材マスタ!$D$10:$D$309,MATCH(E227,食材マスタ!$C$10:$C$309,0)),"※コード未登録"))</f>
        <v/>
      </c>
      <c r="G227" s="16"/>
      <c r="H227" s="8" t="str">
        <f>IF(E227="","",IFERROR(INDEX(食材マスタ!$H$10:$H$309,MATCH(E227,食材マスタ!$C$10:$C$309,0)),""))</f>
        <v/>
      </c>
      <c r="I227" s="15" t="str">
        <f>IF(E227="","",IFERROR(INDEX(食材マスタ!$K$10:$K$309,MATCH(E227,食材マスタ!$C$10:$C$309,0)),""))</f>
        <v/>
      </c>
      <c r="J227" s="15" t="str">
        <f t="shared" si="15"/>
        <v/>
      </c>
      <c r="K227" s="20"/>
      <c r="L227" s="8" t="str">
        <f t="shared" si="16"/>
        <v/>
      </c>
      <c r="M227" s="9"/>
      <c r="N227" s="13" t="str">
        <f t="shared" si="17"/>
        <v/>
      </c>
      <c r="O227" s="22" t="str">
        <f t="shared" ca="1" si="18"/>
        <v/>
      </c>
      <c r="P227" s="17" t="str">
        <f t="shared" si="19"/>
        <v/>
      </c>
      <c r="Q227" s="11"/>
      <c r="R227" s="19"/>
      <c r="S227" s="19"/>
      <c r="U227">
        <f ca="1">IF(AND(ISNUMBER(O227),O227&lt;=設定!$C$4),1,0)</f>
        <v>0</v>
      </c>
      <c r="V227" t="str">
        <f ca="1">IF(U227=1,SUM($U$10:U227),"")</f>
        <v/>
      </c>
    </row>
    <row r="228" spans="2:22">
      <c r="B228" s="8" t="str">
        <f>IF(C228="","",COUNT($C$10:C228))</f>
        <v/>
      </c>
      <c r="C228" s="20"/>
      <c r="D228" s="11"/>
      <c r="E228" s="9"/>
      <c r="F228" s="21" t="str">
        <f>IF(E228="","",IFERROR(INDEX(食材マスタ!$D$10:$D$309,MATCH(E228,食材マスタ!$C$10:$C$309,0)),"※コード未登録"))</f>
        <v/>
      </c>
      <c r="G228" s="16"/>
      <c r="H228" s="8" t="str">
        <f>IF(E228="","",IFERROR(INDEX(食材マスタ!$H$10:$H$309,MATCH(E228,食材マスタ!$C$10:$C$309,0)),""))</f>
        <v/>
      </c>
      <c r="I228" s="15" t="str">
        <f>IF(E228="","",IFERROR(INDEX(食材マスタ!$K$10:$K$309,MATCH(E228,食材マスタ!$C$10:$C$309,0)),""))</f>
        <v/>
      </c>
      <c r="J228" s="15" t="str">
        <f t="shared" si="15"/>
        <v/>
      </c>
      <c r="K228" s="20"/>
      <c r="L228" s="8" t="str">
        <f t="shared" si="16"/>
        <v/>
      </c>
      <c r="M228" s="9"/>
      <c r="N228" s="13" t="str">
        <f t="shared" si="17"/>
        <v/>
      </c>
      <c r="O228" s="22" t="str">
        <f t="shared" ca="1" si="18"/>
        <v/>
      </c>
      <c r="P228" s="17" t="str">
        <f t="shared" si="19"/>
        <v/>
      </c>
      <c r="Q228" s="11"/>
      <c r="R228" s="19"/>
      <c r="S228" s="19"/>
      <c r="U228">
        <f ca="1">IF(AND(ISNUMBER(O228),O228&lt;=設定!$C$4),1,0)</f>
        <v>0</v>
      </c>
      <c r="V228" t="str">
        <f ca="1">IF(U228=1,SUM($U$10:U228),"")</f>
        <v/>
      </c>
    </row>
    <row r="229" spans="2:22">
      <c r="B229" s="8" t="str">
        <f>IF(C229="","",COUNT($C$10:C229))</f>
        <v/>
      </c>
      <c r="C229" s="20"/>
      <c r="D229" s="11"/>
      <c r="E229" s="9"/>
      <c r="F229" s="21" t="str">
        <f>IF(E229="","",IFERROR(INDEX(食材マスタ!$D$10:$D$309,MATCH(E229,食材マスタ!$C$10:$C$309,0)),"※コード未登録"))</f>
        <v/>
      </c>
      <c r="G229" s="16"/>
      <c r="H229" s="8" t="str">
        <f>IF(E229="","",IFERROR(INDEX(食材マスタ!$H$10:$H$309,MATCH(E229,食材マスタ!$C$10:$C$309,0)),""))</f>
        <v/>
      </c>
      <c r="I229" s="15" t="str">
        <f>IF(E229="","",IFERROR(INDEX(食材マスタ!$K$10:$K$309,MATCH(E229,食材マスタ!$C$10:$C$309,0)),""))</f>
        <v/>
      </c>
      <c r="J229" s="15" t="str">
        <f t="shared" si="15"/>
        <v/>
      </c>
      <c r="K229" s="20"/>
      <c r="L229" s="8" t="str">
        <f t="shared" si="16"/>
        <v/>
      </c>
      <c r="M229" s="9"/>
      <c r="N229" s="13" t="str">
        <f t="shared" si="17"/>
        <v/>
      </c>
      <c r="O229" s="22" t="str">
        <f t="shared" ca="1" si="18"/>
        <v/>
      </c>
      <c r="P229" s="17" t="str">
        <f t="shared" si="19"/>
        <v/>
      </c>
      <c r="Q229" s="11"/>
      <c r="R229" s="19"/>
      <c r="S229" s="19"/>
      <c r="U229">
        <f ca="1">IF(AND(ISNUMBER(O229),O229&lt;=設定!$C$4),1,0)</f>
        <v>0</v>
      </c>
      <c r="V229" t="str">
        <f ca="1">IF(U229=1,SUM($U$10:U229),"")</f>
        <v/>
      </c>
    </row>
    <row r="230" spans="2:22">
      <c r="B230" s="8" t="str">
        <f>IF(C230="","",COUNT($C$10:C230))</f>
        <v/>
      </c>
      <c r="C230" s="20"/>
      <c r="D230" s="11"/>
      <c r="E230" s="9"/>
      <c r="F230" s="21" t="str">
        <f>IF(E230="","",IFERROR(INDEX(食材マスタ!$D$10:$D$309,MATCH(E230,食材マスタ!$C$10:$C$309,0)),"※コード未登録"))</f>
        <v/>
      </c>
      <c r="G230" s="16"/>
      <c r="H230" s="8" t="str">
        <f>IF(E230="","",IFERROR(INDEX(食材マスタ!$H$10:$H$309,MATCH(E230,食材マスタ!$C$10:$C$309,0)),""))</f>
        <v/>
      </c>
      <c r="I230" s="15" t="str">
        <f>IF(E230="","",IFERROR(INDEX(食材マスタ!$K$10:$K$309,MATCH(E230,食材マスタ!$C$10:$C$309,0)),""))</f>
        <v/>
      </c>
      <c r="J230" s="15" t="str">
        <f t="shared" si="15"/>
        <v/>
      </c>
      <c r="K230" s="20"/>
      <c r="L230" s="8" t="str">
        <f t="shared" si="16"/>
        <v/>
      </c>
      <c r="M230" s="9"/>
      <c r="N230" s="13" t="str">
        <f t="shared" si="17"/>
        <v/>
      </c>
      <c r="O230" s="22" t="str">
        <f t="shared" ca="1" si="18"/>
        <v/>
      </c>
      <c r="P230" s="17" t="str">
        <f t="shared" si="19"/>
        <v/>
      </c>
      <c r="Q230" s="11"/>
      <c r="R230" s="19"/>
      <c r="S230" s="19"/>
      <c r="U230">
        <f ca="1">IF(AND(ISNUMBER(O230),O230&lt;=設定!$C$4),1,0)</f>
        <v>0</v>
      </c>
      <c r="V230" t="str">
        <f ca="1">IF(U230=1,SUM($U$10:U230),"")</f>
        <v/>
      </c>
    </row>
    <row r="231" spans="2:22">
      <c r="B231" s="8" t="str">
        <f>IF(C231="","",COUNT($C$10:C231))</f>
        <v/>
      </c>
      <c r="C231" s="20"/>
      <c r="D231" s="11"/>
      <c r="E231" s="9"/>
      <c r="F231" s="21" t="str">
        <f>IF(E231="","",IFERROR(INDEX(食材マスタ!$D$10:$D$309,MATCH(E231,食材マスタ!$C$10:$C$309,0)),"※コード未登録"))</f>
        <v/>
      </c>
      <c r="G231" s="16"/>
      <c r="H231" s="8" t="str">
        <f>IF(E231="","",IFERROR(INDEX(食材マスタ!$H$10:$H$309,MATCH(E231,食材マスタ!$C$10:$C$309,0)),""))</f>
        <v/>
      </c>
      <c r="I231" s="15" t="str">
        <f>IF(E231="","",IFERROR(INDEX(食材マスタ!$K$10:$K$309,MATCH(E231,食材マスタ!$C$10:$C$309,0)),""))</f>
        <v/>
      </c>
      <c r="J231" s="15" t="str">
        <f t="shared" si="15"/>
        <v/>
      </c>
      <c r="K231" s="20"/>
      <c r="L231" s="8" t="str">
        <f t="shared" si="16"/>
        <v/>
      </c>
      <c r="M231" s="9"/>
      <c r="N231" s="13" t="str">
        <f t="shared" si="17"/>
        <v/>
      </c>
      <c r="O231" s="22" t="str">
        <f t="shared" ca="1" si="18"/>
        <v/>
      </c>
      <c r="P231" s="17" t="str">
        <f t="shared" si="19"/>
        <v/>
      </c>
      <c r="Q231" s="11"/>
      <c r="R231" s="19"/>
      <c r="S231" s="19"/>
      <c r="U231">
        <f ca="1">IF(AND(ISNUMBER(O231),O231&lt;=設定!$C$4),1,0)</f>
        <v>0</v>
      </c>
      <c r="V231" t="str">
        <f ca="1">IF(U231=1,SUM($U$10:U231),"")</f>
        <v/>
      </c>
    </row>
    <row r="232" spans="2:22">
      <c r="B232" s="8" t="str">
        <f>IF(C232="","",COUNT($C$10:C232))</f>
        <v/>
      </c>
      <c r="C232" s="20"/>
      <c r="D232" s="11"/>
      <c r="E232" s="9"/>
      <c r="F232" s="21" t="str">
        <f>IF(E232="","",IFERROR(INDEX(食材マスタ!$D$10:$D$309,MATCH(E232,食材マスタ!$C$10:$C$309,0)),"※コード未登録"))</f>
        <v/>
      </c>
      <c r="G232" s="16"/>
      <c r="H232" s="8" t="str">
        <f>IF(E232="","",IFERROR(INDEX(食材マスタ!$H$10:$H$309,MATCH(E232,食材マスタ!$C$10:$C$309,0)),""))</f>
        <v/>
      </c>
      <c r="I232" s="15" t="str">
        <f>IF(E232="","",IFERROR(INDEX(食材マスタ!$K$10:$K$309,MATCH(E232,食材マスタ!$C$10:$C$309,0)),""))</f>
        <v/>
      </c>
      <c r="J232" s="15" t="str">
        <f t="shared" si="15"/>
        <v/>
      </c>
      <c r="K232" s="20"/>
      <c r="L232" s="8" t="str">
        <f t="shared" si="16"/>
        <v/>
      </c>
      <c r="M232" s="9"/>
      <c r="N232" s="13" t="str">
        <f t="shared" si="17"/>
        <v/>
      </c>
      <c r="O232" s="22" t="str">
        <f t="shared" ca="1" si="18"/>
        <v/>
      </c>
      <c r="P232" s="17" t="str">
        <f t="shared" si="19"/>
        <v/>
      </c>
      <c r="Q232" s="11"/>
      <c r="R232" s="19"/>
      <c r="S232" s="19"/>
      <c r="U232">
        <f ca="1">IF(AND(ISNUMBER(O232),O232&lt;=設定!$C$4),1,0)</f>
        <v>0</v>
      </c>
      <c r="V232" t="str">
        <f ca="1">IF(U232=1,SUM($U$10:U232),"")</f>
        <v/>
      </c>
    </row>
    <row r="233" spans="2:22">
      <c r="B233" s="8" t="str">
        <f>IF(C233="","",COUNT($C$10:C233))</f>
        <v/>
      </c>
      <c r="C233" s="20"/>
      <c r="D233" s="11"/>
      <c r="E233" s="9"/>
      <c r="F233" s="21" t="str">
        <f>IF(E233="","",IFERROR(INDEX(食材マスタ!$D$10:$D$309,MATCH(E233,食材マスタ!$C$10:$C$309,0)),"※コード未登録"))</f>
        <v/>
      </c>
      <c r="G233" s="16"/>
      <c r="H233" s="8" t="str">
        <f>IF(E233="","",IFERROR(INDEX(食材マスタ!$H$10:$H$309,MATCH(E233,食材マスタ!$C$10:$C$309,0)),""))</f>
        <v/>
      </c>
      <c r="I233" s="15" t="str">
        <f>IF(E233="","",IFERROR(INDEX(食材マスタ!$K$10:$K$309,MATCH(E233,食材マスタ!$C$10:$C$309,0)),""))</f>
        <v/>
      </c>
      <c r="J233" s="15" t="str">
        <f t="shared" si="15"/>
        <v/>
      </c>
      <c r="K233" s="20"/>
      <c r="L233" s="8" t="str">
        <f t="shared" si="16"/>
        <v/>
      </c>
      <c r="M233" s="9"/>
      <c r="N233" s="13" t="str">
        <f t="shared" si="17"/>
        <v/>
      </c>
      <c r="O233" s="22" t="str">
        <f t="shared" ca="1" si="18"/>
        <v/>
      </c>
      <c r="P233" s="17" t="str">
        <f t="shared" si="19"/>
        <v/>
      </c>
      <c r="Q233" s="11"/>
      <c r="R233" s="19"/>
      <c r="S233" s="19"/>
      <c r="U233">
        <f ca="1">IF(AND(ISNUMBER(O233),O233&lt;=設定!$C$4),1,0)</f>
        <v>0</v>
      </c>
      <c r="V233" t="str">
        <f ca="1">IF(U233=1,SUM($U$10:U233),"")</f>
        <v/>
      </c>
    </row>
    <row r="234" spans="2:22">
      <c r="B234" s="8" t="str">
        <f>IF(C234="","",COUNT($C$10:C234))</f>
        <v/>
      </c>
      <c r="C234" s="20"/>
      <c r="D234" s="11"/>
      <c r="E234" s="9"/>
      <c r="F234" s="21" t="str">
        <f>IF(E234="","",IFERROR(INDEX(食材マスタ!$D$10:$D$309,MATCH(E234,食材マスタ!$C$10:$C$309,0)),"※コード未登録"))</f>
        <v/>
      </c>
      <c r="G234" s="16"/>
      <c r="H234" s="8" t="str">
        <f>IF(E234="","",IFERROR(INDEX(食材マスタ!$H$10:$H$309,MATCH(E234,食材マスタ!$C$10:$C$309,0)),""))</f>
        <v/>
      </c>
      <c r="I234" s="15" t="str">
        <f>IF(E234="","",IFERROR(INDEX(食材マスタ!$K$10:$K$309,MATCH(E234,食材マスタ!$C$10:$C$309,0)),""))</f>
        <v/>
      </c>
      <c r="J234" s="15" t="str">
        <f t="shared" si="15"/>
        <v/>
      </c>
      <c r="K234" s="20"/>
      <c r="L234" s="8" t="str">
        <f t="shared" si="16"/>
        <v/>
      </c>
      <c r="M234" s="9"/>
      <c r="N234" s="13" t="str">
        <f t="shared" si="17"/>
        <v/>
      </c>
      <c r="O234" s="22" t="str">
        <f t="shared" ca="1" si="18"/>
        <v/>
      </c>
      <c r="P234" s="17" t="str">
        <f t="shared" si="19"/>
        <v/>
      </c>
      <c r="Q234" s="11"/>
      <c r="R234" s="19"/>
      <c r="S234" s="19"/>
      <c r="U234">
        <f ca="1">IF(AND(ISNUMBER(O234),O234&lt;=設定!$C$4),1,0)</f>
        <v>0</v>
      </c>
      <c r="V234" t="str">
        <f ca="1">IF(U234=1,SUM($U$10:U234),"")</f>
        <v/>
      </c>
    </row>
    <row r="235" spans="2:22">
      <c r="B235" s="8" t="str">
        <f>IF(C235="","",COUNT($C$10:C235))</f>
        <v/>
      </c>
      <c r="C235" s="20"/>
      <c r="D235" s="11"/>
      <c r="E235" s="9"/>
      <c r="F235" s="21" t="str">
        <f>IF(E235="","",IFERROR(INDEX(食材マスタ!$D$10:$D$309,MATCH(E235,食材マスタ!$C$10:$C$309,0)),"※コード未登録"))</f>
        <v/>
      </c>
      <c r="G235" s="16"/>
      <c r="H235" s="8" t="str">
        <f>IF(E235="","",IFERROR(INDEX(食材マスタ!$H$10:$H$309,MATCH(E235,食材マスタ!$C$10:$C$309,0)),""))</f>
        <v/>
      </c>
      <c r="I235" s="15" t="str">
        <f>IF(E235="","",IFERROR(INDEX(食材マスタ!$K$10:$K$309,MATCH(E235,食材マスタ!$C$10:$C$309,0)),""))</f>
        <v/>
      </c>
      <c r="J235" s="15" t="str">
        <f t="shared" si="15"/>
        <v/>
      </c>
      <c r="K235" s="20"/>
      <c r="L235" s="8" t="str">
        <f t="shared" si="16"/>
        <v/>
      </c>
      <c r="M235" s="9"/>
      <c r="N235" s="13" t="str">
        <f t="shared" si="17"/>
        <v/>
      </c>
      <c r="O235" s="22" t="str">
        <f t="shared" ca="1" si="18"/>
        <v/>
      </c>
      <c r="P235" s="17" t="str">
        <f t="shared" si="19"/>
        <v/>
      </c>
      <c r="Q235" s="11"/>
      <c r="R235" s="19"/>
      <c r="S235" s="19"/>
      <c r="U235">
        <f ca="1">IF(AND(ISNUMBER(O235),O235&lt;=設定!$C$4),1,0)</f>
        <v>0</v>
      </c>
      <c r="V235" t="str">
        <f ca="1">IF(U235=1,SUM($U$10:U235),"")</f>
        <v/>
      </c>
    </row>
    <row r="236" spans="2:22">
      <c r="B236" s="8" t="str">
        <f>IF(C236="","",COUNT($C$10:C236))</f>
        <v/>
      </c>
      <c r="C236" s="20"/>
      <c r="D236" s="11"/>
      <c r="E236" s="9"/>
      <c r="F236" s="21" t="str">
        <f>IF(E236="","",IFERROR(INDEX(食材マスタ!$D$10:$D$309,MATCH(E236,食材マスタ!$C$10:$C$309,0)),"※コード未登録"))</f>
        <v/>
      </c>
      <c r="G236" s="16"/>
      <c r="H236" s="8" t="str">
        <f>IF(E236="","",IFERROR(INDEX(食材マスタ!$H$10:$H$309,MATCH(E236,食材マスタ!$C$10:$C$309,0)),""))</f>
        <v/>
      </c>
      <c r="I236" s="15" t="str">
        <f>IF(E236="","",IFERROR(INDEX(食材マスタ!$K$10:$K$309,MATCH(E236,食材マスタ!$C$10:$C$309,0)),""))</f>
        <v/>
      </c>
      <c r="J236" s="15" t="str">
        <f t="shared" si="15"/>
        <v/>
      </c>
      <c r="K236" s="20"/>
      <c r="L236" s="8" t="str">
        <f t="shared" si="16"/>
        <v/>
      </c>
      <c r="M236" s="9"/>
      <c r="N236" s="13" t="str">
        <f t="shared" si="17"/>
        <v/>
      </c>
      <c r="O236" s="22" t="str">
        <f t="shared" ca="1" si="18"/>
        <v/>
      </c>
      <c r="P236" s="17" t="str">
        <f t="shared" si="19"/>
        <v/>
      </c>
      <c r="Q236" s="11"/>
      <c r="R236" s="19"/>
      <c r="S236" s="19"/>
      <c r="U236">
        <f ca="1">IF(AND(ISNUMBER(O236),O236&lt;=設定!$C$4),1,0)</f>
        <v>0</v>
      </c>
      <c r="V236" t="str">
        <f ca="1">IF(U236=1,SUM($U$10:U236),"")</f>
        <v/>
      </c>
    </row>
    <row r="237" spans="2:22">
      <c r="B237" s="8" t="str">
        <f>IF(C237="","",COUNT($C$10:C237))</f>
        <v/>
      </c>
      <c r="C237" s="20"/>
      <c r="D237" s="11"/>
      <c r="E237" s="9"/>
      <c r="F237" s="21" t="str">
        <f>IF(E237="","",IFERROR(INDEX(食材マスタ!$D$10:$D$309,MATCH(E237,食材マスタ!$C$10:$C$309,0)),"※コード未登録"))</f>
        <v/>
      </c>
      <c r="G237" s="16"/>
      <c r="H237" s="8" t="str">
        <f>IF(E237="","",IFERROR(INDEX(食材マスタ!$H$10:$H$309,MATCH(E237,食材マスタ!$C$10:$C$309,0)),""))</f>
        <v/>
      </c>
      <c r="I237" s="15" t="str">
        <f>IF(E237="","",IFERROR(INDEX(食材マスタ!$K$10:$K$309,MATCH(E237,食材マスタ!$C$10:$C$309,0)),""))</f>
        <v/>
      </c>
      <c r="J237" s="15" t="str">
        <f t="shared" si="15"/>
        <v/>
      </c>
      <c r="K237" s="20"/>
      <c r="L237" s="8" t="str">
        <f t="shared" si="16"/>
        <v/>
      </c>
      <c r="M237" s="9"/>
      <c r="N237" s="13" t="str">
        <f t="shared" si="17"/>
        <v/>
      </c>
      <c r="O237" s="22" t="str">
        <f t="shared" ca="1" si="18"/>
        <v/>
      </c>
      <c r="P237" s="17" t="str">
        <f t="shared" si="19"/>
        <v/>
      </c>
      <c r="Q237" s="11"/>
      <c r="R237" s="19"/>
      <c r="S237" s="19"/>
      <c r="U237">
        <f ca="1">IF(AND(ISNUMBER(O237),O237&lt;=設定!$C$4),1,0)</f>
        <v>0</v>
      </c>
      <c r="V237" t="str">
        <f ca="1">IF(U237=1,SUM($U$10:U237),"")</f>
        <v/>
      </c>
    </row>
    <row r="238" spans="2:22">
      <c r="B238" s="8" t="str">
        <f>IF(C238="","",COUNT($C$10:C238))</f>
        <v/>
      </c>
      <c r="C238" s="20"/>
      <c r="D238" s="11"/>
      <c r="E238" s="9"/>
      <c r="F238" s="21" t="str">
        <f>IF(E238="","",IFERROR(INDEX(食材マスタ!$D$10:$D$309,MATCH(E238,食材マスタ!$C$10:$C$309,0)),"※コード未登録"))</f>
        <v/>
      </c>
      <c r="G238" s="16"/>
      <c r="H238" s="8" t="str">
        <f>IF(E238="","",IFERROR(INDEX(食材マスタ!$H$10:$H$309,MATCH(E238,食材マスタ!$C$10:$C$309,0)),""))</f>
        <v/>
      </c>
      <c r="I238" s="15" t="str">
        <f>IF(E238="","",IFERROR(INDEX(食材マスタ!$K$10:$K$309,MATCH(E238,食材マスタ!$C$10:$C$309,0)),""))</f>
        <v/>
      </c>
      <c r="J238" s="15" t="str">
        <f t="shared" si="15"/>
        <v/>
      </c>
      <c r="K238" s="20"/>
      <c r="L238" s="8" t="str">
        <f t="shared" si="16"/>
        <v/>
      </c>
      <c r="M238" s="9"/>
      <c r="N238" s="13" t="str">
        <f t="shared" si="17"/>
        <v/>
      </c>
      <c r="O238" s="22" t="str">
        <f t="shared" ca="1" si="18"/>
        <v/>
      </c>
      <c r="P238" s="17" t="str">
        <f t="shared" si="19"/>
        <v/>
      </c>
      <c r="Q238" s="11"/>
      <c r="R238" s="19"/>
      <c r="S238" s="19"/>
      <c r="U238">
        <f ca="1">IF(AND(ISNUMBER(O238),O238&lt;=設定!$C$4),1,0)</f>
        <v>0</v>
      </c>
      <c r="V238" t="str">
        <f ca="1">IF(U238=1,SUM($U$10:U238),"")</f>
        <v/>
      </c>
    </row>
    <row r="239" spans="2:22">
      <c r="B239" s="8" t="str">
        <f>IF(C239="","",COUNT($C$10:C239))</f>
        <v/>
      </c>
      <c r="C239" s="20"/>
      <c r="D239" s="11"/>
      <c r="E239" s="9"/>
      <c r="F239" s="21" t="str">
        <f>IF(E239="","",IFERROR(INDEX(食材マスタ!$D$10:$D$309,MATCH(E239,食材マスタ!$C$10:$C$309,0)),"※コード未登録"))</f>
        <v/>
      </c>
      <c r="G239" s="16"/>
      <c r="H239" s="8" t="str">
        <f>IF(E239="","",IFERROR(INDEX(食材マスタ!$H$10:$H$309,MATCH(E239,食材マスタ!$C$10:$C$309,0)),""))</f>
        <v/>
      </c>
      <c r="I239" s="15" t="str">
        <f>IF(E239="","",IFERROR(INDEX(食材マスタ!$K$10:$K$309,MATCH(E239,食材マスタ!$C$10:$C$309,0)),""))</f>
        <v/>
      </c>
      <c r="J239" s="15" t="str">
        <f t="shared" si="15"/>
        <v/>
      </c>
      <c r="K239" s="20"/>
      <c r="L239" s="8" t="str">
        <f t="shared" si="16"/>
        <v/>
      </c>
      <c r="M239" s="9"/>
      <c r="N239" s="13" t="str">
        <f t="shared" si="17"/>
        <v/>
      </c>
      <c r="O239" s="22" t="str">
        <f t="shared" ca="1" si="18"/>
        <v/>
      </c>
      <c r="P239" s="17" t="str">
        <f t="shared" si="19"/>
        <v/>
      </c>
      <c r="Q239" s="11"/>
      <c r="R239" s="19"/>
      <c r="S239" s="19"/>
      <c r="U239">
        <f ca="1">IF(AND(ISNUMBER(O239),O239&lt;=設定!$C$4),1,0)</f>
        <v>0</v>
      </c>
      <c r="V239" t="str">
        <f ca="1">IF(U239=1,SUM($U$10:U239),"")</f>
        <v/>
      </c>
    </row>
    <row r="240" spans="2:22">
      <c r="B240" s="8" t="str">
        <f>IF(C240="","",COUNT($C$10:C240))</f>
        <v/>
      </c>
      <c r="C240" s="20"/>
      <c r="D240" s="11"/>
      <c r="E240" s="9"/>
      <c r="F240" s="21" t="str">
        <f>IF(E240="","",IFERROR(INDEX(食材マスタ!$D$10:$D$309,MATCH(E240,食材マスタ!$C$10:$C$309,0)),"※コード未登録"))</f>
        <v/>
      </c>
      <c r="G240" s="16"/>
      <c r="H240" s="8" t="str">
        <f>IF(E240="","",IFERROR(INDEX(食材マスタ!$H$10:$H$309,MATCH(E240,食材マスタ!$C$10:$C$309,0)),""))</f>
        <v/>
      </c>
      <c r="I240" s="15" t="str">
        <f>IF(E240="","",IFERROR(INDEX(食材マスタ!$K$10:$K$309,MATCH(E240,食材マスタ!$C$10:$C$309,0)),""))</f>
        <v/>
      </c>
      <c r="J240" s="15" t="str">
        <f t="shared" si="15"/>
        <v/>
      </c>
      <c r="K240" s="20"/>
      <c r="L240" s="8" t="str">
        <f t="shared" si="16"/>
        <v/>
      </c>
      <c r="M240" s="9"/>
      <c r="N240" s="13" t="str">
        <f t="shared" si="17"/>
        <v/>
      </c>
      <c r="O240" s="22" t="str">
        <f t="shared" ca="1" si="18"/>
        <v/>
      </c>
      <c r="P240" s="17" t="str">
        <f t="shared" si="19"/>
        <v/>
      </c>
      <c r="Q240" s="11"/>
      <c r="R240" s="19"/>
      <c r="S240" s="19"/>
      <c r="U240">
        <f ca="1">IF(AND(ISNUMBER(O240),O240&lt;=設定!$C$4),1,0)</f>
        <v>0</v>
      </c>
      <c r="V240" t="str">
        <f ca="1">IF(U240=1,SUM($U$10:U240),"")</f>
        <v/>
      </c>
    </row>
    <row r="241" spans="2:22">
      <c r="B241" s="8" t="str">
        <f>IF(C241="","",COUNT($C$10:C241))</f>
        <v/>
      </c>
      <c r="C241" s="20"/>
      <c r="D241" s="11"/>
      <c r="E241" s="9"/>
      <c r="F241" s="21" t="str">
        <f>IF(E241="","",IFERROR(INDEX(食材マスタ!$D$10:$D$309,MATCH(E241,食材マスタ!$C$10:$C$309,0)),"※コード未登録"))</f>
        <v/>
      </c>
      <c r="G241" s="16"/>
      <c r="H241" s="8" t="str">
        <f>IF(E241="","",IFERROR(INDEX(食材マスタ!$H$10:$H$309,MATCH(E241,食材マスタ!$C$10:$C$309,0)),""))</f>
        <v/>
      </c>
      <c r="I241" s="15" t="str">
        <f>IF(E241="","",IFERROR(INDEX(食材マスタ!$K$10:$K$309,MATCH(E241,食材マスタ!$C$10:$C$309,0)),""))</f>
        <v/>
      </c>
      <c r="J241" s="15" t="str">
        <f t="shared" si="15"/>
        <v/>
      </c>
      <c r="K241" s="20"/>
      <c r="L241" s="8" t="str">
        <f t="shared" si="16"/>
        <v/>
      </c>
      <c r="M241" s="9"/>
      <c r="N241" s="13" t="str">
        <f t="shared" si="17"/>
        <v/>
      </c>
      <c r="O241" s="22" t="str">
        <f t="shared" ca="1" si="18"/>
        <v/>
      </c>
      <c r="P241" s="17" t="str">
        <f t="shared" si="19"/>
        <v/>
      </c>
      <c r="Q241" s="11"/>
      <c r="R241" s="19"/>
      <c r="S241" s="19"/>
      <c r="U241">
        <f ca="1">IF(AND(ISNUMBER(O241),O241&lt;=設定!$C$4),1,0)</f>
        <v>0</v>
      </c>
      <c r="V241" t="str">
        <f ca="1">IF(U241=1,SUM($U$10:U241),"")</f>
        <v/>
      </c>
    </row>
    <row r="242" spans="2:22">
      <c r="B242" s="8" t="str">
        <f>IF(C242="","",COUNT($C$10:C242))</f>
        <v/>
      </c>
      <c r="C242" s="20"/>
      <c r="D242" s="11"/>
      <c r="E242" s="9"/>
      <c r="F242" s="21" t="str">
        <f>IF(E242="","",IFERROR(INDEX(食材マスタ!$D$10:$D$309,MATCH(E242,食材マスタ!$C$10:$C$309,0)),"※コード未登録"))</f>
        <v/>
      </c>
      <c r="G242" s="16"/>
      <c r="H242" s="8" t="str">
        <f>IF(E242="","",IFERROR(INDEX(食材マスタ!$H$10:$H$309,MATCH(E242,食材マスタ!$C$10:$C$309,0)),""))</f>
        <v/>
      </c>
      <c r="I242" s="15" t="str">
        <f>IF(E242="","",IFERROR(INDEX(食材マスタ!$K$10:$K$309,MATCH(E242,食材マスタ!$C$10:$C$309,0)),""))</f>
        <v/>
      </c>
      <c r="J242" s="15" t="str">
        <f t="shared" si="15"/>
        <v/>
      </c>
      <c r="K242" s="20"/>
      <c r="L242" s="8" t="str">
        <f t="shared" si="16"/>
        <v/>
      </c>
      <c r="M242" s="9"/>
      <c r="N242" s="13" t="str">
        <f t="shared" si="17"/>
        <v/>
      </c>
      <c r="O242" s="22" t="str">
        <f t="shared" ca="1" si="18"/>
        <v/>
      </c>
      <c r="P242" s="17" t="str">
        <f t="shared" si="19"/>
        <v/>
      </c>
      <c r="Q242" s="11"/>
      <c r="R242" s="19"/>
      <c r="S242" s="19"/>
      <c r="U242">
        <f ca="1">IF(AND(ISNUMBER(O242),O242&lt;=設定!$C$4),1,0)</f>
        <v>0</v>
      </c>
      <c r="V242" t="str">
        <f ca="1">IF(U242=1,SUM($U$10:U242),"")</f>
        <v/>
      </c>
    </row>
    <row r="243" spans="2:22">
      <c r="B243" s="8" t="str">
        <f>IF(C243="","",COUNT($C$10:C243))</f>
        <v/>
      </c>
      <c r="C243" s="20"/>
      <c r="D243" s="11"/>
      <c r="E243" s="9"/>
      <c r="F243" s="21" t="str">
        <f>IF(E243="","",IFERROR(INDEX(食材マスタ!$D$10:$D$309,MATCH(E243,食材マスタ!$C$10:$C$309,0)),"※コード未登録"))</f>
        <v/>
      </c>
      <c r="G243" s="16"/>
      <c r="H243" s="8" t="str">
        <f>IF(E243="","",IFERROR(INDEX(食材マスタ!$H$10:$H$309,MATCH(E243,食材マスタ!$C$10:$C$309,0)),""))</f>
        <v/>
      </c>
      <c r="I243" s="15" t="str">
        <f>IF(E243="","",IFERROR(INDEX(食材マスタ!$K$10:$K$309,MATCH(E243,食材マスタ!$C$10:$C$309,0)),""))</f>
        <v/>
      </c>
      <c r="J243" s="15" t="str">
        <f t="shared" si="15"/>
        <v/>
      </c>
      <c r="K243" s="20"/>
      <c r="L243" s="8" t="str">
        <f t="shared" si="16"/>
        <v/>
      </c>
      <c r="M243" s="9"/>
      <c r="N243" s="13" t="str">
        <f t="shared" si="17"/>
        <v/>
      </c>
      <c r="O243" s="22" t="str">
        <f t="shared" ca="1" si="18"/>
        <v/>
      </c>
      <c r="P243" s="17" t="str">
        <f t="shared" si="19"/>
        <v/>
      </c>
      <c r="Q243" s="11"/>
      <c r="R243" s="19"/>
      <c r="S243" s="19"/>
      <c r="U243">
        <f ca="1">IF(AND(ISNUMBER(O243),O243&lt;=設定!$C$4),1,0)</f>
        <v>0</v>
      </c>
      <c r="V243" t="str">
        <f ca="1">IF(U243=1,SUM($U$10:U243),"")</f>
        <v/>
      </c>
    </row>
    <row r="244" spans="2:22">
      <c r="B244" s="8" t="str">
        <f>IF(C244="","",COUNT($C$10:C244))</f>
        <v/>
      </c>
      <c r="C244" s="20"/>
      <c r="D244" s="11"/>
      <c r="E244" s="9"/>
      <c r="F244" s="21" t="str">
        <f>IF(E244="","",IFERROR(INDEX(食材マスタ!$D$10:$D$309,MATCH(E244,食材マスタ!$C$10:$C$309,0)),"※コード未登録"))</f>
        <v/>
      </c>
      <c r="G244" s="16"/>
      <c r="H244" s="8" t="str">
        <f>IF(E244="","",IFERROR(INDEX(食材マスタ!$H$10:$H$309,MATCH(E244,食材マスタ!$C$10:$C$309,0)),""))</f>
        <v/>
      </c>
      <c r="I244" s="15" t="str">
        <f>IF(E244="","",IFERROR(INDEX(食材マスタ!$K$10:$K$309,MATCH(E244,食材マスタ!$C$10:$C$309,0)),""))</f>
        <v/>
      </c>
      <c r="J244" s="15" t="str">
        <f t="shared" si="15"/>
        <v/>
      </c>
      <c r="K244" s="20"/>
      <c r="L244" s="8" t="str">
        <f t="shared" si="16"/>
        <v/>
      </c>
      <c r="M244" s="9"/>
      <c r="N244" s="13" t="str">
        <f t="shared" si="17"/>
        <v/>
      </c>
      <c r="O244" s="22" t="str">
        <f t="shared" ca="1" si="18"/>
        <v/>
      </c>
      <c r="P244" s="17" t="str">
        <f t="shared" si="19"/>
        <v/>
      </c>
      <c r="Q244" s="11"/>
      <c r="R244" s="19"/>
      <c r="S244" s="19"/>
      <c r="U244">
        <f ca="1">IF(AND(ISNUMBER(O244),O244&lt;=設定!$C$4),1,0)</f>
        <v>0</v>
      </c>
      <c r="V244" t="str">
        <f ca="1">IF(U244=1,SUM($U$10:U244),"")</f>
        <v/>
      </c>
    </row>
    <row r="245" spans="2:22">
      <c r="B245" s="8" t="str">
        <f>IF(C245="","",COUNT($C$10:C245))</f>
        <v/>
      </c>
      <c r="C245" s="20"/>
      <c r="D245" s="11"/>
      <c r="E245" s="9"/>
      <c r="F245" s="21" t="str">
        <f>IF(E245="","",IFERROR(INDEX(食材マスタ!$D$10:$D$309,MATCH(E245,食材マスタ!$C$10:$C$309,0)),"※コード未登録"))</f>
        <v/>
      </c>
      <c r="G245" s="16"/>
      <c r="H245" s="8" t="str">
        <f>IF(E245="","",IFERROR(INDEX(食材マスタ!$H$10:$H$309,MATCH(E245,食材マスタ!$C$10:$C$309,0)),""))</f>
        <v/>
      </c>
      <c r="I245" s="15" t="str">
        <f>IF(E245="","",IFERROR(INDEX(食材マスタ!$K$10:$K$309,MATCH(E245,食材マスタ!$C$10:$C$309,0)),""))</f>
        <v/>
      </c>
      <c r="J245" s="15" t="str">
        <f t="shared" si="15"/>
        <v/>
      </c>
      <c r="K245" s="20"/>
      <c r="L245" s="8" t="str">
        <f t="shared" si="16"/>
        <v/>
      </c>
      <c r="M245" s="9"/>
      <c r="N245" s="13" t="str">
        <f t="shared" si="17"/>
        <v/>
      </c>
      <c r="O245" s="22" t="str">
        <f t="shared" ca="1" si="18"/>
        <v/>
      </c>
      <c r="P245" s="17" t="str">
        <f t="shared" si="19"/>
        <v/>
      </c>
      <c r="Q245" s="11"/>
      <c r="R245" s="19"/>
      <c r="S245" s="19"/>
      <c r="U245">
        <f ca="1">IF(AND(ISNUMBER(O245),O245&lt;=設定!$C$4),1,0)</f>
        <v>0</v>
      </c>
      <c r="V245" t="str">
        <f ca="1">IF(U245=1,SUM($U$10:U245),"")</f>
        <v/>
      </c>
    </row>
    <row r="246" spans="2:22">
      <c r="B246" s="8" t="str">
        <f>IF(C246="","",COUNT($C$10:C246))</f>
        <v/>
      </c>
      <c r="C246" s="20"/>
      <c r="D246" s="11"/>
      <c r="E246" s="9"/>
      <c r="F246" s="21" t="str">
        <f>IF(E246="","",IFERROR(INDEX(食材マスタ!$D$10:$D$309,MATCH(E246,食材マスタ!$C$10:$C$309,0)),"※コード未登録"))</f>
        <v/>
      </c>
      <c r="G246" s="16"/>
      <c r="H246" s="8" t="str">
        <f>IF(E246="","",IFERROR(INDEX(食材マスタ!$H$10:$H$309,MATCH(E246,食材マスタ!$C$10:$C$309,0)),""))</f>
        <v/>
      </c>
      <c r="I246" s="15" t="str">
        <f>IF(E246="","",IFERROR(INDEX(食材マスタ!$K$10:$K$309,MATCH(E246,食材マスタ!$C$10:$C$309,0)),""))</f>
        <v/>
      </c>
      <c r="J246" s="15" t="str">
        <f t="shared" si="15"/>
        <v/>
      </c>
      <c r="K246" s="20"/>
      <c r="L246" s="8" t="str">
        <f t="shared" si="16"/>
        <v/>
      </c>
      <c r="M246" s="9"/>
      <c r="N246" s="13" t="str">
        <f t="shared" si="17"/>
        <v/>
      </c>
      <c r="O246" s="22" t="str">
        <f t="shared" ca="1" si="18"/>
        <v/>
      </c>
      <c r="P246" s="17" t="str">
        <f t="shared" si="19"/>
        <v/>
      </c>
      <c r="Q246" s="11"/>
      <c r="R246" s="19"/>
      <c r="S246" s="19"/>
      <c r="U246">
        <f ca="1">IF(AND(ISNUMBER(O246),O246&lt;=設定!$C$4),1,0)</f>
        <v>0</v>
      </c>
      <c r="V246" t="str">
        <f ca="1">IF(U246=1,SUM($U$10:U246),"")</f>
        <v/>
      </c>
    </row>
    <row r="247" spans="2:22">
      <c r="B247" s="8" t="str">
        <f>IF(C247="","",COUNT($C$10:C247))</f>
        <v/>
      </c>
      <c r="C247" s="20"/>
      <c r="D247" s="11"/>
      <c r="E247" s="9"/>
      <c r="F247" s="21" t="str">
        <f>IF(E247="","",IFERROR(INDEX(食材マスタ!$D$10:$D$309,MATCH(E247,食材マスタ!$C$10:$C$309,0)),"※コード未登録"))</f>
        <v/>
      </c>
      <c r="G247" s="16"/>
      <c r="H247" s="8" t="str">
        <f>IF(E247="","",IFERROR(INDEX(食材マスタ!$H$10:$H$309,MATCH(E247,食材マスタ!$C$10:$C$309,0)),""))</f>
        <v/>
      </c>
      <c r="I247" s="15" t="str">
        <f>IF(E247="","",IFERROR(INDEX(食材マスタ!$K$10:$K$309,MATCH(E247,食材マスタ!$C$10:$C$309,0)),""))</f>
        <v/>
      </c>
      <c r="J247" s="15" t="str">
        <f t="shared" si="15"/>
        <v/>
      </c>
      <c r="K247" s="20"/>
      <c r="L247" s="8" t="str">
        <f t="shared" si="16"/>
        <v/>
      </c>
      <c r="M247" s="9"/>
      <c r="N247" s="13" t="str">
        <f t="shared" si="17"/>
        <v/>
      </c>
      <c r="O247" s="22" t="str">
        <f t="shared" ca="1" si="18"/>
        <v/>
      </c>
      <c r="P247" s="17" t="str">
        <f t="shared" si="19"/>
        <v/>
      </c>
      <c r="Q247" s="11"/>
      <c r="R247" s="19"/>
      <c r="S247" s="19"/>
      <c r="U247">
        <f ca="1">IF(AND(ISNUMBER(O247),O247&lt;=設定!$C$4),1,0)</f>
        <v>0</v>
      </c>
      <c r="V247" t="str">
        <f ca="1">IF(U247=1,SUM($U$10:U247),"")</f>
        <v/>
      </c>
    </row>
    <row r="248" spans="2:22">
      <c r="B248" s="8" t="str">
        <f>IF(C248="","",COUNT($C$10:C248))</f>
        <v/>
      </c>
      <c r="C248" s="20"/>
      <c r="D248" s="11"/>
      <c r="E248" s="9"/>
      <c r="F248" s="21" t="str">
        <f>IF(E248="","",IFERROR(INDEX(食材マスタ!$D$10:$D$309,MATCH(E248,食材マスタ!$C$10:$C$309,0)),"※コード未登録"))</f>
        <v/>
      </c>
      <c r="G248" s="16"/>
      <c r="H248" s="8" t="str">
        <f>IF(E248="","",IFERROR(INDEX(食材マスタ!$H$10:$H$309,MATCH(E248,食材マスタ!$C$10:$C$309,0)),""))</f>
        <v/>
      </c>
      <c r="I248" s="15" t="str">
        <f>IF(E248="","",IFERROR(INDEX(食材マスタ!$K$10:$K$309,MATCH(E248,食材マスタ!$C$10:$C$309,0)),""))</f>
        <v/>
      </c>
      <c r="J248" s="15" t="str">
        <f t="shared" si="15"/>
        <v/>
      </c>
      <c r="K248" s="20"/>
      <c r="L248" s="8" t="str">
        <f t="shared" si="16"/>
        <v/>
      </c>
      <c r="M248" s="9"/>
      <c r="N248" s="13" t="str">
        <f t="shared" si="17"/>
        <v/>
      </c>
      <c r="O248" s="22" t="str">
        <f t="shared" ca="1" si="18"/>
        <v/>
      </c>
      <c r="P248" s="17" t="str">
        <f t="shared" si="19"/>
        <v/>
      </c>
      <c r="Q248" s="11"/>
      <c r="R248" s="19"/>
      <c r="S248" s="19"/>
      <c r="U248">
        <f ca="1">IF(AND(ISNUMBER(O248),O248&lt;=設定!$C$4),1,0)</f>
        <v>0</v>
      </c>
      <c r="V248" t="str">
        <f ca="1">IF(U248=1,SUM($U$10:U248),"")</f>
        <v/>
      </c>
    </row>
    <row r="249" spans="2:22">
      <c r="B249" s="8" t="str">
        <f>IF(C249="","",COUNT($C$10:C249))</f>
        <v/>
      </c>
      <c r="C249" s="20"/>
      <c r="D249" s="11"/>
      <c r="E249" s="9"/>
      <c r="F249" s="21" t="str">
        <f>IF(E249="","",IFERROR(INDEX(食材マスタ!$D$10:$D$309,MATCH(E249,食材マスタ!$C$10:$C$309,0)),"※コード未登録"))</f>
        <v/>
      </c>
      <c r="G249" s="16"/>
      <c r="H249" s="8" t="str">
        <f>IF(E249="","",IFERROR(INDEX(食材マスタ!$H$10:$H$309,MATCH(E249,食材マスタ!$C$10:$C$309,0)),""))</f>
        <v/>
      </c>
      <c r="I249" s="15" t="str">
        <f>IF(E249="","",IFERROR(INDEX(食材マスタ!$K$10:$K$309,MATCH(E249,食材マスタ!$C$10:$C$309,0)),""))</f>
        <v/>
      </c>
      <c r="J249" s="15" t="str">
        <f t="shared" si="15"/>
        <v/>
      </c>
      <c r="K249" s="20"/>
      <c r="L249" s="8" t="str">
        <f t="shared" si="16"/>
        <v/>
      </c>
      <c r="M249" s="9"/>
      <c r="N249" s="13" t="str">
        <f t="shared" si="17"/>
        <v/>
      </c>
      <c r="O249" s="22" t="str">
        <f t="shared" ca="1" si="18"/>
        <v/>
      </c>
      <c r="P249" s="17" t="str">
        <f t="shared" si="19"/>
        <v/>
      </c>
      <c r="Q249" s="11"/>
      <c r="R249" s="19"/>
      <c r="S249" s="19"/>
      <c r="U249">
        <f ca="1">IF(AND(ISNUMBER(O249),O249&lt;=設定!$C$4),1,0)</f>
        <v>0</v>
      </c>
      <c r="V249" t="str">
        <f ca="1">IF(U249=1,SUM($U$10:U249),"")</f>
        <v/>
      </c>
    </row>
    <row r="250" spans="2:22">
      <c r="B250" s="8" t="str">
        <f>IF(C250="","",COUNT($C$10:C250))</f>
        <v/>
      </c>
      <c r="C250" s="20"/>
      <c r="D250" s="11"/>
      <c r="E250" s="9"/>
      <c r="F250" s="21" t="str">
        <f>IF(E250="","",IFERROR(INDEX(食材マスタ!$D$10:$D$309,MATCH(E250,食材マスタ!$C$10:$C$309,0)),"※コード未登録"))</f>
        <v/>
      </c>
      <c r="G250" s="16"/>
      <c r="H250" s="8" t="str">
        <f>IF(E250="","",IFERROR(INDEX(食材マスタ!$H$10:$H$309,MATCH(E250,食材マスタ!$C$10:$C$309,0)),""))</f>
        <v/>
      </c>
      <c r="I250" s="15" t="str">
        <f>IF(E250="","",IFERROR(INDEX(食材マスタ!$K$10:$K$309,MATCH(E250,食材マスタ!$C$10:$C$309,0)),""))</f>
        <v/>
      </c>
      <c r="J250" s="15" t="str">
        <f t="shared" si="15"/>
        <v/>
      </c>
      <c r="K250" s="20"/>
      <c r="L250" s="8" t="str">
        <f t="shared" si="16"/>
        <v/>
      </c>
      <c r="M250" s="9"/>
      <c r="N250" s="13" t="str">
        <f t="shared" si="17"/>
        <v/>
      </c>
      <c r="O250" s="22" t="str">
        <f t="shared" ca="1" si="18"/>
        <v/>
      </c>
      <c r="P250" s="17" t="str">
        <f t="shared" si="19"/>
        <v/>
      </c>
      <c r="Q250" s="11"/>
      <c r="R250" s="19"/>
      <c r="S250" s="19"/>
      <c r="U250">
        <f ca="1">IF(AND(ISNUMBER(O250),O250&lt;=設定!$C$4),1,0)</f>
        <v>0</v>
      </c>
      <c r="V250" t="str">
        <f ca="1">IF(U250=1,SUM($U$10:U250),"")</f>
        <v/>
      </c>
    </row>
    <row r="251" spans="2:22">
      <c r="B251" s="8" t="str">
        <f>IF(C251="","",COUNT($C$10:C251))</f>
        <v/>
      </c>
      <c r="C251" s="20"/>
      <c r="D251" s="11"/>
      <c r="E251" s="9"/>
      <c r="F251" s="21" t="str">
        <f>IF(E251="","",IFERROR(INDEX(食材マスタ!$D$10:$D$309,MATCH(E251,食材マスタ!$C$10:$C$309,0)),"※コード未登録"))</f>
        <v/>
      </c>
      <c r="G251" s="16"/>
      <c r="H251" s="8" t="str">
        <f>IF(E251="","",IFERROR(INDEX(食材マスタ!$H$10:$H$309,MATCH(E251,食材マスタ!$C$10:$C$309,0)),""))</f>
        <v/>
      </c>
      <c r="I251" s="15" t="str">
        <f>IF(E251="","",IFERROR(INDEX(食材マスタ!$K$10:$K$309,MATCH(E251,食材マスタ!$C$10:$C$309,0)),""))</f>
        <v/>
      </c>
      <c r="J251" s="15" t="str">
        <f t="shared" si="15"/>
        <v/>
      </c>
      <c r="K251" s="20"/>
      <c r="L251" s="8" t="str">
        <f t="shared" si="16"/>
        <v/>
      </c>
      <c r="M251" s="9"/>
      <c r="N251" s="13" t="str">
        <f t="shared" si="17"/>
        <v/>
      </c>
      <c r="O251" s="22" t="str">
        <f t="shared" ca="1" si="18"/>
        <v/>
      </c>
      <c r="P251" s="17" t="str">
        <f t="shared" si="19"/>
        <v/>
      </c>
      <c r="Q251" s="11"/>
      <c r="R251" s="19"/>
      <c r="S251" s="19"/>
      <c r="U251">
        <f ca="1">IF(AND(ISNUMBER(O251),O251&lt;=設定!$C$4),1,0)</f>
        <v>0</v>
      </c>
      <c r="V251" t="str">
        <f ca="1">IF(U251=1,SUM($U$10:U251),"")</f>
        <v/>
      </c>
    </row>
    <row r="252" spans="2:22">
      <c r="B252" s="8" t="str">
        <f>IF(C252="","",COUNT($C$10:C252))</f>
        <v/>
      </c>
      <c r="C252" s="20"/>
      <c r="D252" s="11"/>
      <c r="E252" s="9"/>
      <c r="F252" s="21" t="str">
        <f>IF(E252="","",IFERROR(INDEX(食材マスタ!$D$10:$D$309,MATCH(E252,食材マスタ!$C$10:$C$309,0)),"※コード未登録"))</f>
        <v/>
      </c>
      <c r="G252" s="16"/>
      <c r="H252" s="8" t="str">
        <f>IF(E252="","",IFERROR(INDEX(食材マスタ!$H$10:$H$309,MATCH(E252,食材マスタ!$C$10:$C$309,0)),""))</f>
        <v/>
      </c>
      <c r="I252" s="15" t="str">
        <f>IF(E252="","",IFERROR(INDEX(食材マスタ!$K$10:$K$309,MATCH(E252,食材マスタ!$C$10:$C$309,0)),""))</f>
        <v/>
      </c>
      <c r="J252" s="15" t="str">
        <f t="shared" si="15"/>
        <v/>
      </c>
      <c r="K252" s="20"/>
      <c r="L252" s="8" t="str">
        <f t="shared" si="16"/>
        <v/>
      </c>
      <c r="M252" s="9"/>
      <c r="N252" s="13" t="str">
        <f t="shared" si="17"/>
        <v/>
      </c>
      <c r="O252" s="22" t="str">
        <f t="shared" ca="1" si="18"/>
        <v/>
      </c>
      <c r="P252" s="17" t="str">
        <f t="shared" si="19"/>
        <v/>
      </c>
      <c r="Q252" s="11"/>
      <c r="R252" s="19"/>
      <c r="S252" s="19"/>
      <c r="U252">
        <f ca="1">IF(AND(ISNUMBER(O252),O252&lt;=設定!$C$4),1,0)</f>
        <v>0</v>
      </c>
      <c r="V252" t="str">
        <f ca="1">IF(U252=1,SUM($U$10:U252),"")</f>
        <v/>
      </c>
    </row>
    <row r="253" spans="2:22">
      <c r="B253" s="8" t="str">
        <f>IF(C253="","",COUNT($C$10:C253))</f>
        <v/>
      </c>
      <c r="C253" s="20"/>
      <c r="D253" s="11"/>
      <c r="E253" s="9"/>
      <c r="F253" s="21" t="str">
        <f>IF(E253="","",IFERROR(INDEX(食材マスタ!$D$10:$D$309,MATCH(E253,食材マスタ!$C$10:$C$309,0)),"※コード未登録"))</f>
        <v/>
      </c>
      <c r="G253" s="16"/>
      <c r="H253" s="8" t="str">
        <f>IF(E253="","",IFERROR(INDEX(食材マスタ!$H$10:$H$309,MATCH(E253,食材マスタ!$C$10:$C$309,0)),""))</f>
        <v/>
      </c>
      <c r="I253" s="15" t="str">
        <f>IF(E253="","",IFERROR(INDEX(食材マスタ!$K$10:$K$309,MATCH(E253,食材マスタ!$C$10:$C$309,0)),""))</f>
        <v/>
      </c>
      <c r="J253" s="15" t="str">
        <f t="shared" si="15"/>
        <v/>
      </c>
      <c r="K253" s="20"/>
      <c r="L253" s="8" t="str">
        <f t="shared" si="16"/>
        <v/>
      </c>
      <c r="M253" s="9"/>
      <c r="N253" s="13" t="str">
        <f t="shared" si="17"/>
        <v/>
      </c>
      <c r="O253" s="22" t="str">
        <f t="shared" ca="1" si="18"/>
        <v/>
      </c>
      <c r="P253" s="17" t="str">
        <f t="shared" si="19"/>
        <v/>
      </c>
      <c r="Q253" s="11"/>
      <c r="R253" s="19"/>
      <c r="S253" s="19"/>
      <c r="U253">
        <f ca="1">IF(AND(ISNUMBER(O253),O253&lt;=設定!$C$4),1,0)</f>
        <v>0</v>
      </c>
      <c r="V253" t="str">
        <f ca="1">IF(U253=1,SUM($U$10:U253),"")</f>
        <v/>
      </c>
    </row>
    <row r="254" spans="2:22">
      <c r="B254" s="8" t="str">
        <f>IF(C254="","",COUNT($C$10:C254))</f>
        <v/>
      </c>
      <c r="C254" s="20"/>
      <c r="D254" s="11"/>
      <c r="E254" s="9"/>
      <c r="F254" s="21" t="str">
        <f>IF(E254="","",IFERROR(INDEX(食材マスタ!$D$10:$D$309,MATCH(E254,食材マスタ!$C$10:$C$309,0)),"※コード未登録"))</f>
        <v/>
      </c>
      <c r="G254" s="16"/>
      <c r="H254" s="8" t="str">
        <f>IF(E254="","",IFERROR(INDEX(食材マスタ!$H$10:$H$309,MATCH(E254,食材マスタ!$C$10:$C$309,0)),""))</f>
        <v/>
      </c>
      <c r="I254" s="15" t="str">
        <f>IF(E254="","",IFERROR(INDEX(食材マスタ!$K$10:$K$309,MATCH(E254,食材マスタ!$C$10:$C$309,0)),""))</f>
        <v/>
      </c>
      <c r="J254" s="15" t="str">
        <f t="shared" si="15"/>
        <v/>
      </c>
      <c r="K254" s="20"/>
      <c r="L254" s="8" t="str">
        <f t="shared" si="16"/>
        <v/>
      </c>
      <c r="M254" s="9"/>
      <c r="N254" s="13" t="str">
        <f t="shared" si="17"/>
        <v/>
      </c>
      <c r="O254" s="22" t="str">
        <f t="shared" ca="1" si="18"/>
        <v/>
      </c>
      <c r="P254" s="17" t="str">
        <f t="shared" si="19"/>
        <v/>
      </c>
      <c r="Q254" s="11"/>
      <c r="R254" s="19"/>
      <c r="S254" s="19"/>
      <c r="U254">
        <f ca="1">IF(AND(ISNUMBER(O254),O254&lt;=設定!$C$4),1,0)</f>
        <v>0</v>
      </c>
      <c r="V254" t="str">
        <f ca="1">IF(U254=1,SUM($U$10:U254),"")</f>
        <v/>
      </c>
    </row>
    <row r="255" spans="2:22">
      <c r="B255" s="8" t="str">
        <f>IF(C255="","",COUNT($C$10:C255))</f>
        <v/>
      </c>
      <c r="C255" s="20"/>
      <c r="D255" s="11"/>
      <c r="E255" s="9"/>
      <c r="F255" s="21" t="str">
        <f>IF(E255="","",IFERROR(INDEX(食材マスタ!$D$10:$D$309,MATCH(E255,食材マスタ!$C$10:$C$309,0)),"※コード未登録"))</f>
        <v/>
      </c>
      <c r="G255" s="16"/>
      <c r="H255" s="8" t="str">
        <f>IF(E255="","",IFERROR(INDEX(食材マスタ!$H$10:$H$309,MATCH(E255,食材マスタ!$C$10:$C$309,0)),""))</f>
        <v/>
      </c>
      <c r="I255" s="15" t="str">
        <f>IF(E255="","",IFERROR(INDEX(食材マスタ!$K$10:$K$309,MATCH(E255,食材マスタ!$C$10:$C$309,0)),""))</f>
        <v/>
      </c>
      <c r="J255" s="15" t="str">
        <f t="shared" si="15"/>
        <v/>
      </c>
      <c r="K255" s="20"/>
      <c r="L255" s="8" t="str">
        <f t="shared" si="16"/>
        <v/>
      </c>
      <c r="M255" s="9"/>
      <c r="N255" s="13" t="str">
        <f t="shared" si="17"/>
        <v/>
      </c>
      <c r="O255" s="22" t="str">
        <f t="shared" ca="1" si="18"/>
        <v/>
      </c>
      <c r="P255" s="17" t="str">
        <f t="shared" si="19"/>
        <v/>
      </c>
      <c r="Q255" s="11"/>
      <c r="R255" s="19"/>
      <c r="S255" s="19"/>
      <c r="U255">
        <f ca="1">IF(AND(ISNUMBER(O255),O255&lt;=設定!$C$4),1,0)</f>
        <v>0</v>
      </c>
      <c r="V255" t="str">
        <f ca="1">IF(U255=1,SUM($U$10:U255),"")</f>
        <v/>
      </c>
    </row>
    <row r="256" spans="2:22">
      <c r="B256" s="8" t="str">
        <f>IF(C256="","",COUNT($C$10:C256))</f>
        <v/>
      </c>
      <c r="C256" s="20"/>
      <c r="D256" s="11"/>
      <c r="E256" s="9"/>
      <c r="F256" s="21" t="str">
        <f>IF(E256="","",IFERROR(INDEX(食材マスタ!$D$10:$D$309,MATCH(E256,食材マスタ!$C$10:$C$309,0)),"※コード未登録"))</f>
        <v/>
      </c>
      <c r="G256" s="16"/>
      <c r="H256" s="8" t="str">
        <f>IF(E256="","",IFERROR(INDEX(食材マスタ!$H$10:$H$309,MATCH(E256,食材マスタ!$C$10:$C$309,0)),""))</f>
        <v/>
      </c>
      <c r="I256" s="15" t="str">
        <f>IF(E256="","",IFERROR(INDEX(食材マスタ!$K$10:$K$309,MATCH(E256,食材マスタ!$C$10:$C$309,0)),""))</f>
        <v/>
      </c>
      <c r="J256" s="15" t="str">
        <f t="shared" si="15"/>
        <v/>
      </c>
      <c r="K256" s="20"/>
      <c r="L256" s="8" t="str">
        <f t="shared" si="16"/>
        <v/>
      </c>
      <c r="M256" s="9"/>
      <c r="N256" s="13" t="str">
        <f t="shared" si="17"/>
        <v/>
      </c>
      <c r="O256" s="22" t="str">
        <f t="shared" ca="1" si="18"/>
        <v/>
      </c>
      <c r="P256" s="17" t="str">
        <f t="shared" si="19"/>
        <v/>
      </c>
      <c r="Q256" s="11"/>
      <c r="R256" s="19"/>
      <c r="S256" s="19"/>
      <c r="U256">
        <f ca="1">IF(AND(ISNUMBER(O256),O256&lt;=設定!$C$4),1,0)</f>
        <v>0</v>
      </c>
      <c r="V256" t="str">
        <f ca="1">IF(U256=1,SUM($U$10:U256),"")</f>
        <v/>
      </c>
    </row>
    <row r="257" spans="2:22">
      <c r="B257" s="8" t="str">
        <f>IF(C257="","",COUNT($C$10:C257))</f>
        <v/>
      </c>
      <c r="C257" s="20"/>
      <c r="D257" s="11"/>
      <c r="E257" s="9"/>
      <c r="F257" s="21" t="str">
        <f>IF(E257="","",IFERROR(INDEX(食材マスタ!$D$10:$D$309,MATCH(E257,食材マスタ!$C$10:$C$309,0)),"※コード未登録"))</f>
        <v/>
      </c>
      <c r="G257" s="16"/>
      <c r="H257" s="8" t="str">
        <f>IF(E257="","",IFERROR(INDEX(食材マスタ!$H$10:$H$309,MATCH(E257,食材マスタ!$C$10:$C$309,0)),""))</f>
        <v/>
      </c>
      <c r="I257" s="15" t="str">
        <f>IF(E257="","",IFERROR(INDEX(食材マスタ!$K$10:$K$309,MATCH(E257,食材マスタ!$C$10:$C$309,0)),""))</f>
        <v/>
      </c>
      <c r="J257" s="15" t="str">
        <f t="shared" si="15"/>
        <v/>
      </c>
      <c r="K257" s="20"/>
      <c r="L257" s="8" t="str">
        <f t="shared" si="16"/>
        <v/>
      </c>
      <c r="M257" s="9"/>
      <c r="N257" s="13" t="str">
        <f t="shared" si="17"/>
        <v/>
      </c>
      <c r="O257" s="22" t="str">
        <f t="shared" ca="1" si="18"/>
        <v/>
      </c>
      <c r="P257" s="17" t="str">
        <f t="shared" si="19"/>
        <v/>
      </c>
      <c r="Q257" s="11"/>
      <c r="R257" s="19"/>
      <c r="S257" s="19"/>
      <c r="U257">
        <f ca="1">IF(AND(ISNUMBER(O257),O257&lt;=設定!$C$4),1,0)</f>
        <v>0</v>
      </c>
      <c r="V257" t="str">
        <f ca="1">IF(U257=1,SUM($U$10:U257),"")</f>
        <v/>
      </c>
    </row>
    <row r="258" spans="2:22">
      <c r="B258" s="8" t="str">
        <f>IF(C258="","",COUNT($C$10:C258))</f>
        <v/>
      </c>
      <c r="C258" s="20"/>
      <c r="D258" s="11"/>
      <c r="E258" s="9"/>
      <c r="F258" s="21" t="str">
        <f>IF(E258="","",IFERROR(INDEX(食材マスタ!$D$10:$D$309,MATCH(E258,食材マスタ!$C$10:$C$309,0)),"※コード未登録"))</f>
        <v/>
      </c>
      <c r="G258" s="16"/>
      <c r="H258" s="8" t="str">
        <f>IF(E258="","",IFERROR(INDEX(食材マスタ!$H$10:$H$309,MATCH(E258,食材マスタ!$C$10:$C$309,0)),""))</f>
        <v/>
      </c>
      <c r="I258" s="15" t="str">
        <f>IF(E258="","",IFERROR(INDEX(食材マスタ!$K$10:$K$309,MATCH(E258,食材マスタ!$C$10:$C$309,0)),""))</f>
        <v/>
      </c>
      <c r="J258" s="15" t="str">
        <f t="shared" si="15"/>
        <v/>
      </c>
      <c r="K258" s="20"/>
      <c r="L258" s="8" t="str">
        <f t="shared" si="16"/>
        <v/>
      </c>
      <c r="M258" s="9"/>
      <c r="N258" s="13" t="str">
        <f t="shared" si="17"/>
        <v/>
      </c>
      <c r="O258" s="22" t="str">
        <f t="shared" ca="1" si="18"/>
        <v/>
      </c>
      <c r="P258" s="17" t="str">
        <f t="shared" si="19"/>
        <v/>
      </c>
      <c r="Q258" s="11"/>
      <c r="R258" s="19"/>
      <c r="S258" s="19"/>
      <c r="U258">
        <f ca="1">IF(AND(ISNUMBER(O258),O258&lt;=設定!$C$4),1,0)</f>
        <v>0</v>
      </c>
      <c r="V258" t="str">
        <f ca="1">IF(U258=1,SUM($U$10:U258),"")</f>
        <v/>
      </c>
    </row>
    <row r="259" spans="2:22">
      <c r="B259" s="8" t="str">
        <f>IF(C259="","",COUNT($C$10:C259))</f>
        <v/>
      </c>
      <c r="C259" s="20"/>
      <c r="D259" s="11"/>
      <c r="E259" s="9"/>
      <c r="F259" s="21" t="str">
        <f>IF(E259="","",IFERROR(INDEX(食材マスタ!$D$10:$D$309,MATCH(E259,食材マスタ!$C$10:$C$309,0)),"※コード未登録"))</f>
        <v/>
      </c>
      <c r="G259" s="16"/>
      <c r="H259" s="8" t="str">
        <f>IF(E259="","",IFERROR(INDEX(食材マスタ!$H$10:$H$309,MATCH(E259,食材マスタ!$C$10:$C$309,0)),""))</f>
        <v/>
      </c>
      <c r="I259" s="15" t="str">
        <f>IF(E259="","",IFERROR(INDEX(食材マスタ!$K$10:$K$309,MATCH(E259,食材マスタ!$C$10:$C$309,0)),""))</f>
        <v/>
      </c>
      <c r="J259" s="15" t="str">
        <f t="shared" si="15"/>
        <v/>
      </c>
      <c r="K259" s="20"/>
      <c r="L259" s="8" t="str">
        <f t="shared" si="16"/>
        <v/>
      </c>
      <c r="M259" s="9"/>
      <c r="N259" s="13" t="str">
        <f t="shared" si="17"/>
        <v/>
      </c>
      <c r="O259" s="22" t="str">
        <f t="shared" ca="1" si="18"/>
        <v/>
      </c>
      <c r="P259" s="17" t="str">
        <f t="shared" si="19"/>
        <v/>
      </c>
      <c r="Q259" s="11"/>
      <c r="R259" s="19"/>
      <c r="S259" s="19"/>
      <c r="U259">
        <f ca="1">IF(AND(ISNUMBER(O259),O259&lt;=設定!$C$4),1,0)</f>
        <v>0</v>
      </c>
      <c r="V259" t="str">
        <f ca="1">IF(U259=1,SUM($U$10:U259),"")</f>
        <v/>
      </c>
    </row>
    <row r="260" spans="2:22">
      <c r="B260" s="8" t="str">
        <f>IF(C260="","",COUNT($C$10:C260))</f>
        <v/>
      </c>
      <c r="C260" s="20"/>
      <c r="D260" s="11"/>
      <c r="E260" s="9"/>
      <c r="F260" s="21" t="str">
        <f>IF(E260="","",IFERROR(INDEX(食材マスタ!$D$10:$D$309,MATCH(E260,食材マスタ!$C$10:$C$309,0)),"※コード未登録"))</f>
        <v/>
      </c>
      <c r="G260" s="16"/>
      <c r="H260" s="8" t="str">
        <f>IF(E260="","",IFERROR(INDEX(食材マスタ!$H$10:$H$309,MATCH(E260,食材マスタ!$C$10:$C$309,0)),""))</f>
        <v/>
      </c>
      <c r="I260" s="15" t="str">
        <f>IF(E260="","",IFERROR(INDEX(食材マスタ!$K$10:$K$309,MATCH(E260,食材マスタ!$C$10:$C$309,0)),""))</f>
        <v/>
      </c>
      <c r="J260" s="15" t="str">
        <f t="shared" si="15"/>
        <v/>
      </c>
      <c r="K260" s="20"/>
      <c r="L260" s="8" t="str">
        <f t="shared" si="16"/>
        <v/>
      </c>
      <c r="M260" s="9"/>
      <c r="N260" s="13" t="str">
        <f t="shared" si="17"/>
        <v/>
      </c>
      <c r="O260" s="22" t="str">
        <f t="shared" ca="1" si="18"/>
        <v/>
      </c>
      <c r="P260" s="17" t="str">
        <f t="shared" si="19"/>
        <v/>
      </c>
      <c r="Q260" s="11"/>
      <c r="R260" s="19"/>
      <c r="S260" s="19"/>
      <c r="U260">
        <f ca="1">IF(AND(ISNUMBER(O260),O260&lt;=設定!$C$4),1,0)</f>
        <v>0</v>
      </c>
      <c r="V260" t="str">
        <f ca="1">IF(U260=1,SUM($U$10:U260),"")</f>
        <v/>
      </c>
    </row>
    <row r="261" spans="2:22">
      <c r="B261" s="8" t="str">
        <f>IF(C261="","",COUNT($C$10:C261))</f>
        <v/>
      </c>
      <c r="C261" s="20"/>
      <c r="D261" s="11"/>
      <c r="E261" s="9"/>
      <c r="F261" s="21" t="str">
        <f>IF(E261="","",IFERROR(INDEX(食材マスタ!$D$10:$D$309,MATCH(E261,食材マスタ!$C$10:$C$309,0)),"※コード未登録"))</f>
        <v/>
      </c>
      <c r="G261" s="16"/>
      <c r="H261" s="8" t="str">
        <f>IF(E261="","",IFERROR(INDEX(食材マスタ!$H$10:$H$309,MATCH(E261,食材マスタ!$C$10:$C$309,0)),""))</f>
        <v/>
      </c>
      <c r="I261" s="15" t="str">
        <f>IF(E261="","",IFERROR(INDEX(食材マスタ!$K$10:$K$309,MATCH(E261,食材マスタ!$C$10:$C$309,0)),""))</f>
        <v/>
      </c>
      <c r="J261" s="15" t="str">
        <f t="shared" si="15"/>
        <v/>
      </c>
      <c r="K261" s="20"/>
      <c r="L261" s="8" t="str">
        <f t="shared" si="16"/>
        <v/>
      </c>
      <c r="M261" s="9"/>
      <c r="N261" s="13" t="str">
        <f t="shared" si="17"/>
        <v/>
      </c>
      <c r="O261" s="22" t="str">
        <f t="shared" ca="1" si="18"/>
        <v/>
      </c>
      <c r="P261" s="17" t="str">
        <f t="shared" si="19"/>
        <v/>
      </c>
      <c r="Q261" s="11"/>
      <c r="R261" s="19"/>
      <c r="S261" s="19"/>
      <c r="U261">
        <f ca="1">IF(AND(ISNUMBER(O261),O261&lt;=設定!$C$4),1,0)</f>
        <v>0</v>
      </c>
      <c r="V261" t="str">
        <f ca="1">IF(U261=1,SUM($U$10:U261),"")</f>
        <v/>
      </c>
    </row>
    <row r="262" spans="2:22">
      <c r="B262" s="8" t="str">
        <f>IF(C262="","",COUNT($C$10:C262))</f>
        <v/>
      </c>
      <c r="C262" s="20"/>
      <c r="D262" s="11"/>
      <c r="E262" s="9"/>
      <c r="F262" s="21" t="str">
        <f>IF(E262="","",IFERROR(INDEX(食材マスタ!$D$10:$D$309,MATCH(E262,食材マスタ!$C$10:$C$309,0)),"※コード未登録"))</f>
        <v/>
      </c>
      <c r="G262" s="16"/>
      <c r="H262" s="8" t="str">
        <f>IF(E262="","",IFERROR(INDEX(食材マスタ!$H$10:$H$309,MATCH(E262,食材マスタ!$C$10:$C$309,0)),""))</f>
        <v/>
      </c>
      <c r="I262" s="15" t="str">
        <f>IF(E262="","",IFERROR(INDEX(食材マスタ!$K$10:$K$309,MATCH(E262,食材マスタ!$C$10:$C$309,0)),""))</f>
        <v/>
      </c>
      <c r="J262" s="15" t="str">
        <f t="shared" si="15"/>
        <v/>
      </c>
      <c r="K262" s="20"/>
      <c r="L262" s="8" t="str">
        <f t="shared" si="16"/>
        <v/>
      </c>
      <c r="M262" s="9"/>
      <c r="N262" s="13" t="str">
        <f t="shared" si="17"/>
        <v/>
      </c>
      <c r="O262" s="22" t="str">
        <f t="shared" ca="1" si="18"/>
        <v/>
      </c>
      <c r="P262" s="17" t="str">
        <f t="shared" si="19"/>
        <v/>
      </c>
      <c r="Q262" s="11"/>
      <c r="R262" s="19"/>
      <c r="S262" s="19"/>
      <c r="U262">
        <f ca="1">IF(AND(ISNUMBER(O262),O262&lt;=設定!$C$4),1,0)</f>
        <v>0</v>
      </c>
      <c r="V262" t="str">
        <f ca="1">IF(U262=1,SUM($U$10:U262),"")</f>
        <v/>
      </c>
    </row>
    <row r="263" spans="2:22">
      <c r="B263" s="8" t="str">
        <f>IF(C263="","",COUNT($C$10:C263))</f>
        <v/>
      </c>
      <c r="C263" s="20"/>
      <c r="D263" s="11"/>
      <c r="E263" s="9"/>
      <c r="F263" s="21" t="str">
        <f>IF(E263="","",IFERROR(INDEX(食材マスタ!$D$10:$D$309,MATCH(E263,食材マスタ!$C$10:$C$309,0)),"※コード未登録"))</f>
        <v/>
      </c>
      <c r="G263" s="16"/>
      <c r="H263" s="8" t="str">
        <f>IF(E263="","",IFERROR(INDEX(食材マスタ!$H$10:$H$309,MATCH(E263,食材マスタ!$C$10:$C$309,0)),""))</f>
        <v/>
      </c>
      <c r="I263" s="15" t="str">
        <f>IF(E263="","",IFERROR(INDEX(食材マスタ!$K$10:$K$309,MATCH(E263,食材マスタ!$C$10:$C$309,0)),""))</f>
        <v/>
      </c>
      <c r="J263" s="15" t="str">
        <f t="shared" si="15"/>
        <v/>
      </c>
      <c r="K263" s="20"/>
      <c r="L263" s="8" t="str">
        <f t="shared" si="16"/>
        <v/>
      </c>
      <c r="M263" s="9"/>
      <c r="N263" s="13" t="str">
        <f t="shared" si="17"/>
        <v/>
      </c>
      <c r="O263" s="22" t="str">
        <f t="shared" ca="1" si="18"/>
        <v/>
      </c>
      <c r="P263" s="17" t="str">
        <f t="shared" si="19"/>
        <v/>
      </c>
      <c r="Q263" s="11"/>
      <c r="R263" s="19"/>
      <c r="S263" s="19"/>
      <c r="U263">
        <f ca="1">IF(AND(ISNUMBER(O263),O263&lt;=設定!$C$4),1,0)</f>
        <v>0</v>
      </c>
      <c r="V263" t="str">
        <f ca="1">IF(U263=1,SUM($U$10:U263),"")</f>
        <v/>
      </c>
    </row>
    <row r="264" spans="2:22">
      <c r="B264" s="8" t="str">
        <f>IF(C264="","",COUNT($C$10:C264))</f>
        <v/>
      </c>
      <c r="C264" s="20"/>
      <c r="D264" s="11"/>
      <c r="E264" s="9"/>
      <c r="F264" s="21" t="str">
        <f>IF(E264="","",IFERROR(INDEX(食材マスタ!$D$10:$D$309,MATCH(E264,食材マスタ!$C$10:$C$309,0)),"※コード未登録"))</f>
        <v/>
      </c>
      <c r="G264" s="16"/>
      <c r="H264" s="8" t="str">
        <f>IF(E264="","",IFERROR(INDEX(食材マスタ!$H$10:$H$309,MATCH(E264,食材マスタ!$C$10:$C$309,0)),""))</f>
        <v/>
      </c>
      <c r="I264" s="15" t="str">
        <f>IF(E264="","",IFERROR(INDEX(食材マスタ!$K$10:$K$309,MATCH(E264,食材マスタ!$C$10:$C$309,0)),""))</f>
        <v/>
      </c>
      <c r="J264" s="15" t="str">
        <f t="shared" si="15"/>
        <v/>
      </c>
      <c r="K264" s="20"/>
      <c r="L264" s="8" t="str">
        <f t="shared" si="16"/>
        <v/>
      </c>
      <c r="M264" s="9"/>
      <c r="N264" s="13" t="str">
        <f t="shared" si="17"/>
        <v/>
      </c>
      <c r="O264" s="22" t="str">
        <f t="shared" ca="1" si="18"/>
        <v/>
      </c>
      <c r="P264" s="17" t="str">
        <f t="shared" si="19"/>
        <v/>
      </c>
      <c r="Q264" s="11"/>
      <c r="R264" s="19"/>
      <c r="S264" s="19"/>
      <c r="U264">
        <f ca="1">IF(AND(ISNUMBER(O264),O264&lt;=設定!$C$4),1,0)</f>
        <v>0</v>
      </c>
      <c r="V264" t="str">
        <f ca="1">IF(U264=1,SUM($U$10:U264),"")</f>
        <v/>
      </c>
    </row>
    <row r="265" spans="2:22">
      <c r="B265" s="8" t="str">
        <f>IF(C265="","",COUNT($C$10:C265))</f>
        <v/>
      </c>
      <c r="C265" s="20"/>
      <c r="D265" s="11"/>
      <c r="E265" s="9"/>
      <c r="F265" s="21" t="str">
        <f>IF(E265="","",IFERROR(INDEX(食材マスタ!$D$10:$D$309,MATCH(E265,食材マスタ!$C$10:$C$309,0)),"※コード未登録"))</f>
        <v/>
      </c>
      <c r="G265" s="16"/>
      <c r="H265" s="8" t="str">
        <f>IF(E265="","",IFERROR(INDEX(食材マスタ!$H$10:$H$309,MATCH(E265,食材マスタ!$C$10:$C$309,0)),""))</f>
        <v/>
      </c>
      <c r="I265" s="15" t="str">
        <f>IF(E265="","",IFERROR(INDEX(食材マスタ!$K$10:$K$309,MATCH(E265,食材マスタ!$C$10:$C$309,0)),""))</f>
        <v/>
      </c>
      <c r="J265" s="15" t="str">
        <f t="shared" si="15"/>
        <v/>
      </c>
      <c r="K265" s="20"/>
      <c r="L265" s="8" t="str">
        <f t="shared" si="16"/>
        <v/>
      </c>
      <c r="M265" s="9"/>
      <c r="N265" s="13" t="str">
        <f t="shared" si="17"/>
        <v/>
      </c>
      <c r="O265" s="22" t="str">
        <f t="shared" ca="1" si="18"/>
        <v/>
      </c>
      <c r="P265" s="17" t="str">
        <f t="shared" si="19"/>
        <v/>
      </c>
      <c r="Q265" s="11"/>
      <c r="R265" s="19"/>
      <c r="S265" s="19"/>
      <c r="U265">
        <f ca="1">IF(AND(ISNUMBER(O265),O265&lt;=設定!$C$4),1,0)</f>
        <v>0</v>
      </c>
      <c r="V265" t="str">
        <f ca="1">IF(U265=1,SUM($U$10:U265),"")</f>
        <v/>
      </c>
    </row>
    <row r="266" spans="2:22">
      <c r="B266" s="8" t="str">
        <f>IF(C266="","",COUNT($C$10:C266))</f>
        <v/>
      </c>
      <c r="C266" s="20"/>
      <c r="D266" s="11"/>
      <c r="E266" s="9"/>
      <c r="F266" s="21" t="str">
        <f>IF(E266="","",IFERROR(INDEX(食材マスタ!$D$10:$D$309,MATCH(E266,食材マスタ!$C$10:$C$309,0)),"※コード未登録"))</f>
        <v/>
      </c>
      <c r="G266" s="16"/>
      <c r="H266" s="8" t="str">
        <f>IF(E266="","",IFERROR(INDEX(食材マスタ!$H$10:$H$309,MATCH(E266,食材マスタ!$C$10:$C$309,0)),""))</f>
        <v/>
      </c>
      <c r="I266" s="15" t="str">
        <f>IF(E266="","",IFERROR(INDEX(食材マスタ!$K$10:$K$309,MATCH(E266,食材マスタ!$C$10:$C$309,0)),""))</f>
        <v/>
      </c>
      <c r="J266" s="15" t="str">
        <f t="shared" ref="J266:J329" si="20">IF(OR(G266="",I266=""),"",ROUND(ABS(G266)*I266,0))</f>
        <v/>
      </c>
      <c r="K266" s="20"/>
      <c r="L266" s="8" t="str">
        <f t="shared" ref="L266:L329" si="21">IF(AND(D266="入庫",E266&lt;&gt;""),E266&amp;"-"&amp;TEXT(ROW()-9,"0000"),"")</f>
        <v/>
      </c>
      <c r="M266" s="9"/>
      <c r="N266" s="13" t="str">
        <f t="shared" ref="N266:N329" si="22">IF(L266="","",G266-SUMIFS($G$10:$G$1009,$M$10:$M$1009,L266,$D$10:$D$1009,"出庫")-SUMIFS($G$10:$G$1009,$M$10:$M$1009,L266,$D$10:$D$1009,"廃棄")+SUMIFS($G$10:$G$1009,$M$10:$M$1009,L266,$D$10:$D$1009,"棚卸調整"))</f>
        <v/>
      </c>
      <c r="O266" s="22" t="str">
        <f t="shared" ref="O266:O329" ca="1" si="23">IF(OR(L266="",K266=""),"",IF(N266&lt;=0,"",K266-TODAY()))</f>
        <v/>
      </c>
      <c r="P266" s="17" t="str">
        <f t="shared" ref="P266:P329" si="24">IF(E266="","",IF(F266="※コード未登録","コード未登録",IF(AND(OR(D266="出庫",D266="廃棄"),M266=""),"ロット未指定",IF(AND(M266&lt;&gt;"",LEFT(M266,LEN(E266)+1)&lt;&gt;E266&amp;"-"),"ロット違い",IF(AND(L266&lt;&gt;"",N266&lt;0),"ロット残マイナス","")))))</f>
        <v/>
      </c>
      <c r="Q266" s="11"/>
      <c r="R266" s="19"/>
      <c r="S266" s="19"/>
      <c r="U266">
        <f ca="1">IF(AND(ISNUMBER(O266),O266&lt;=設定!$C$4),1,0)</f>
        <v>0</v>
      </c>
      <c r="V266" t="str">
        <f ca="1">IF(U266=1,SUM($U$10:U266),"")</f>
        <v/>
      </c>
    </row>
    <row r="267" spans="2:22">
      <c r="B267" s="8" t="str">
        <f>IF(C267="","",COUNT($C$10:C267))</f>
        <v/>
      </c>
      <c r="C267" s="20"/>
      <c r="D267" s="11"/>
      <c r="E267" s="9"/>
      <c r="F267" s="21" t="str">
        <f>IF(E267="","",IFERROR(INDEX(食材マスタ!$D$10:$D$309,MATCH(E267,食材マスタ!$C$10:$C$309,0)),"※コード未登録"))</f>
        <v/>
      </c>
      <c r="G267" s="16"/>
      <c r="H267" s="8" t="str">
        <f>IF(E267="","",IFERROR(INDEX(食材マスタ!$H$10:$H$309,MATCH(E267,食材マスタ!$C$10:$C$309,0)),""))</f>
        <v/>
      </c>
      <c r="I267" s="15" t="str">
        <f>IF(E267="","",IFERROR(INDEX(食材マスタ!$K$10:$K$309,MATCH(E267,食材マスタ!$C$10:$C$309,0)),""))</f>
        <v/>
      </c>
      <c r="J267" s="15" t="str">
        <f t="shared" si="20"/>
        <v/>
      </c>
      <c r="K267" s="20"/>
      <c r="L267" s="8" t="str">
        <f t="shared" si="21"/>
        <v/>
      </c>
      <c r="M267" s="9"/>
      <c r="N267" s="13" t="str">
        <f t="shared" si="22"/>
        <v/>
      </c>
      <c r="O267" s="22" t="str">
        <f t="shared" ca="1" si="23"/>
        <v/>
      </c>
      <c r="P267" s="17" t="str">
        <f t="shared" si="24"/>
        <v/>
      </c>
      <c r="Q267" s="11"/>
      <c r="R267" s="19"/>
      <c r="S267" s="19"/>
      <c r="U267">
        <f ca="1">IF(AND(ISNUMBER(O267),O267&lt;=設定!$C$4),1,0)</f>
        <v>0</v>
      </c>
      <c r="V267" t="str">
        <f ca="1">IF(U267=1,SUM($U$10:U267),"")</f>
        <v/>
      </c>
    </row>
    <row r="268" spans="2:22">
      <c r="B268" s="8" t="str">
        <f>IF(C268="","",COUNT($C$10:C268))</f>
        <v/>
      </c>
      <c r="C268" s="20"/>
      <c r="D268" s="11"/>
      <c r="E268" s="9"/>
      <c r="F268" s="21" t="str">
        <f>IF(E268="","",IFERROR(INDEX(食材マスタ!$D$10:$D$309,MATCH(E268,食材マスタ!$C$10:$C$309,0)),"※コード未登録"))</f>
        <v/>
      </c>
      <c r="G268" s="16"/>
      <c r="H268" s="8" t="str">
        <f>IF(E268="","",IFERROR(INDEX(食材マスタ!$H$10:$H$309,MATCH(E268,食材マスタ!$C$10:$C$309,0)),""))</f>
        <v/>
      </c>
      <c r="I268" s="15" t="str">
        <f>IF(E268="","",IFERROR(INDEX(食材マスタ!$K$10:$K$309,MATCH(E268,食材マスタ!$C$10:$C$309,0)),""))</f>
        <v/>
      </c>
      <c r="J268" s="15" t="str">
        <f t="shared" si="20"/>
        <v/>
      </c>
      <c r="K268" s="20"/>
      <c r="L268" s="8" t="str">
        <f t="shared" si="21"/>
        <v/>
      </c>
      <c r="M268" s="9"/>
      <c r="N268" s="13" t="str">
        <f t="shared" si="22"/>
        <v/>
      </c>
      <c r="O268" s="22" t="str">
        <f t="shared" ca="1" si="23"/>
        <v/>
      </c>
      <c r="P268" s="17" t="str">
        <f t="shared" si="24"/>
        <v/>
      </c>
      <c r="Q268" s="11"/>
      <c r="R268" s="19"/>
      <c r="S268" s="19"/>
      <c r="U268">
        <f ca="1">IF(AND(ISNUMBER(O268),O268&lt;=設定!$C$4),1,0)</f>
        <v>0</v>
      </c>
      <c r="V268" t="str">
        <f ca="1">IF(U268=1,SUM($U$10:U268),"")</f>
        <v/>
      </c>
    </row>
    <row r="269" spans="2:22">
      <c r="B269" s="8" t="str">
        <f>IF(C269="","",COUNT($C$10:C269))</f>
        <v/>
      </c>
      <c r="C269" s="20"/>
      <c r="D269" s="11"/>
      <c r="E269" s="9"/>
      <c r="F269" s="21" t="str">
        <f>IF(E269="","",IFERROR(INDEX(食材マスタ!$D$10:$D$309,MATCH(E269,食材マスタ!$C$10:$C$309,0)),"※コード未登録"))</f>
        <v/>
      </c>
      <c r="G269" s="16"/>
      <c r="H269" s="8" t="str">
        <f>IF(E269="","",IFERROR(INDEX(食材マスタ!$H$10:$H$309,MATCH(E269,食材マスタ!$C$10:$C$309,0)),""))</f>
        <v/>
      </c>
      <c r="I269" s="15" t="str">
        <f>IF(E269="","",IFERROR(INDEX(食材マスタ!$K$10:$K$309,MATCH(E269,食材マスタ!$C$10:$C$309,0)),""))</f>
        <v/>
      </c>
      <c r="J269" s="15" t="str">
        <f t="shared" si="20"/>
        <v/>
      </c>
      <c r="K269" s="20"/>
      <c r="L269" s="8" t="str">
        <f t="shared" si="21"/>
        <v/>
      </c>
      <c r="M269" s="9"/>
      <c r="N269" s="13" t="str">
        <f t="shared" si="22"/>
        <v/>
      </c>
      <c r="O269" s="22" t="str">
        <f t="shared" ca="1" si="23"/>
        <v/>
      </c>
      <c r="P269" s="17" t="str">
        <f t="shared" si="24"/>
        <v/>
      </c>
      <c r="Q269" s="11"/>
      <c r="R269" s="19"/>
      <c r="S269" s="19"/>
      <c r="U269">
        <f ca="1">IF(AND(ISNUMBER(O269),O269&lt;=設定!$C$4),1,0)</f>
        <v>0</v>
      </c>
      <c r="V269" t="str">
        <f ca="1">IF(U269=1,SUM($U$10:U269),"")</f>
        <v/>
      </c>
    </row>
    <row r="270" spans="2:22">
      <c r="B270" s="8" t="str">
        <f>IF(C270="","",COUNT($C$10:C270))</f>
        <v/>
      </c>
      <c r="C270" s="20"/>
      <c r="D270" s="11"/>
      <c r="E270" s="9"/>
      <c r="F270" s="21" t="str">
        <f>IF(E270="","",IFERROR(INDEX(食材マスタ!$D$10:$D$309,MATCH(E270,食材マスタ!$C$10:$C$309,0)),"※コード未登録"))</f>
        <v/>
      </c>
      <c r="G270" s="16"/>
      <c r="H270" s="8" t="str">
        <f>IF(E270="","",IFERROR(INDEX(食材マスタ!$H$10:$H$309,MATCH(E270,食材マスタ!$C$10:$C$309,0)),""))</f>
        <v/>
      </c>
      <c r="I270" s="15" t="str">
        <f>IF(E270="","",IFERROR(INDEX(食材マスタ!$K$10:$K$309,MATCH(E270,食材マスタ!$C$10:$C$309,0)),""))</f>
        <v/>
      </c>
      <c r="J270" s="15" t="str">
        <f t="shared" si="20"/>
        <v/>
      </c>
      <c r="K270" s="20"/>
      <c r="L270" s="8" t="str">
        <f t="shared" si="21"/>
        <v/>
      </c>
      <c r="M270" s="9"/>
      <c r="N270" s="13" t="str">
        <f t="shared" si="22"/>
        <v/>
      </c>
      <c r="O270" s="22" t="str">
        <f t="shared" ca="1" si="23"/>
        <v/>
      </c>
      <c r="P270" s="17" t="str">
        <f t="shared" si="24"/>
        <v/>
      </c>
      <c r="Q270" s="11"/>
      <c r="R270" s="19"/>
      <c r="S270" s="19"/>
      <c r="U270">
        <f ca="1">IF(AND(ISNUMBER(O270),O270&lt;=設定!$C$4),1,0)</f>
        <v>0</v>
      </c>
      <c r="V270" t="str">
        <f ca="1">IF(U270=1,SUM($U$10:U270),"")</f>
        <v/>
      </c>
    </row>
    <row r="271" spans="2:22">
      <c r="B271" s="8" t="str">
        <f>IF(C271="","",COUNT($C$10:C271))</f>
        <v/>
      </c>
      <c r="C271" s="20"/>
      <c r="D271" s="11"/>
      <c r="E271" s="9"/>
      <c r="F271" s="21" t="str">
        <f>IF(E271="","",IFERROR(INDEX(食材マスタ!$D$10:$D$309,MATCH(E271,食材マスタ!$C$10:$C$309,0)),"※コード未登録"))</f>
        <v/>
      </c>
      <c r="G271" s="16"/>
      <c r="H271" s="8" t="str">
        <f>IF(E271="","",IFERROR(INDEX(食材マスタ!$H$10:$H$309,MATCH(E271,食材マスタ!$C$10:$C$309,0)),""))</f>
        <v/>
      </c>
      <c r="I271" s="15" t="str">
        <f>IF(E271="","",IFERROR(INDEX(食材マスタ!$K$10:$K$309,MATCH(E271,食材マスタ!$C$10:$C$309,0)),""))</f>
        <v/>
      </c>
      <c r="J271" s="15" t="str">
        <f t="shared" si="20"/>
        <v/>
      </c>
      <c r="K271" s="20"/>
      <c r="L271" s="8" t="str">
        <f t="shared" si="21"/>
        <v/>
      </c>
      <c r="M271" s="9"/>
      <c r="N271" s="13" t="str">
        <f t="shared" si="22"/>
        <v/>
      </c>
      <c r="O271" s="22" t="str">
        <f t="shared" ca="1" si="23"/>
        <v/>
      </c>
      <c r="P271" s="17" t="str">
        <f t="shared" si="24"/>
        <v/>
      </c>
      <c r="Q271" s="11"/>
      <c r="R271" s="19"/>
      <c r="S271" s="19"/>
      <c r="U271">
        <f ca="1">IF(AND(ISNUMBER(O271),O271&lt;=設定!$C$4),1,0)</f>
        <v>0</v>
      </c>
      <c r="V271" t="str">
        <f ca="1">IF(U271=1,SUM($U$10:U271),"")</f>
        <v/>
      </c>
    </row>
    <row r="272" spans="2:22">
      <c r="B272" s="8" t="str">
        <f>IF(C272="","",COUNT($C$10:C272))</f>
        <v/>
      </c>
      <c r="C272" s="20"/>
      <c r="D272" s="11"/>
      <c r="E272" s="9"/>
      <c r="F272" s="21" t="str">
        <f>IF(E272="","",IFERROR(INDEX(食材マスタ!$D$10:$D$309,MATCH(E272,食材マスタ!$C$10:$C$309,0)),"※コード未登録"))</f>
        <v/>
      </c>
      <c r="G272" s="16"/>
      <c r="H272" s="8" t="str">
        <f>IF(E272="","",IFERROR(INDEX(食材マスタ!$H$10:$H$309,MATCH(E272,食材マスタ!$C$10:$C$309,0)),""))</f>
        <v/>
      </c>
      <c r="I272" s="15" t="str">
        <f>IF(E272="","",IFERROR(INDEX(食材マスタ!$K$10:$K$309,MATCH(E272,食材マスタ!$C$10:$C$309,0)),""))</f>
        <v/>
      </c>
      <c r="J272" s="15" t="str">
        <f t="shared" si="20"/>
        <v/>
      </c>
      <c r="K272" s="20"/>
      <c r="L272" s="8" t="str">
        <f t="shared" si="21"/>
        <v/>
      </c>
      <c r="M272" s="9"/>
      <c r="N272" s="13" t="str">
        <f t="shared" si="22"/>
        <v/>
      </c>
      <c r="O272" s="22" t="str">
        <f t="shared" ca="1" si="23"/>
        <v/>
      </c>
      <c r="P272" s="17" t="str">
        <f t="shared" si="24"/>
        <v/>
      </c>
      <c r="Q272" s="11"/>
      <c r="R272" s="19"/>
      <c r="S272" s="19"/>
      <c r="U272">
        <f ca="1">IF(AND(ISNUMBER(O272),O272&lt;=設定!$C$4),1,0)</f>
        <v>0</v>
      </c>
      <c r="V272" t="str">
        <f ca="1">IF(U272=1,SUM($U$10:U272),"")</f>
        <v/>
      </c>
    </row>
    <row r="273" spans="2:22">
      <c r="B273" s="8" t="str">
        <f>IF(C273="","",COUNT($C$10:C273))</f>
        <v/>
      </c>
      <c r="C273" s="20"/>
      <c r="D273" s="11"/>
      <c r="E273" s="9"/>
      <c r="F273" s="21" t="str">
        <f>IF(E273="","",IFERROR(INDEX(食材マスタ!$D$10:$D$309,MATCH(E273,食材マスタ!$C$10:$C$309,0)),"※コード未登録"))</f>
        <v/>
      </c>
      <c r="G273" s="16"/>
      <c r="H273" s="8" t="str">
        <f>IF(E273="","",IFERROR(INDEX(食材マスタ!$H$10:$H$309,MATCH(E273,食材マスタ!$C$10:$C$309,0)),""))</f>
        <v/>
      </c>
      <c r="I273" s="15" t="str">
        <f>IF(E273="","",IFERROR(INDEX(食材マスタ!$K$10:$K$309,MATCH(E273,食材マスタ!$C$10:$C$309,0)),""))</f>
        <v/>
      </c>
      <c r="J273" s="15" t="str">
        <f t="shared" si="20"/>
        <v/>
      </c>
      <c r="K273" s="20"/>
      <c r="L273" s="8" t="str">
        <f t="shared" si="21"/>
        <v/>
      </c>
      <c r="M273" s="9"/>
      <c r="N273" s="13" t="str">
        <f t="shared" si="22"/>
        <v/>
      </c>
      <c r="O273" s="22" t="str">
        <f t="shared" ca="1" si="23"/>
        <v/>
      </c>
      <c r="P273" s="17" t="str">
        <f t="shared" si="24"/>
        <v/>
      </c>
      <c r="Q273" s="11"/>
      <c r="R273" s="19"/>
      <c r="S273" s="19"/>
      <c r="U273">
        <f ca="1">IF(AND(ISNUMBER(O273),O273&lt;=設定!$C$4),1,0)</f>
        <v>0</v>
      </c>
      <c r="V273" t="str">
        <f ca="1">IF(U273=1,SUM($U$10:U273),"")</f>
        <v/>
      </c>
    </row>
    <row r="274" spans="2:22">
      <c r="B274" s="8" t="str">
        <f>IF(C274="","",COUNT($C$10:C274))</f>
        <v/>
      </c>
      <c r="C274" s="20"/>
      <c r="D274" s="11"/>
      <c r="E274" s="9"/>
      <c r="F274" s="21" t="str">
        <f>IF(E274="","",IFERROR(INDEX(食材マスタ!$D$10:$D$309,MATCH(E274,食材マスタ!$C$10:$C$309,0)),"※コード未登録"))</f>
        <v/>
      </c>
      <c r="G274" s="16"/>
      <c r="H274" s="8" t="str">
        <f>IF(E274="","",IFERROR(INDEX(食材マスタ!$H$10:$H$309,MATCH(E274,食材マスタ!$C$10:$C$309,0)),""))</f>
        <v/>
      </c>
      <c r="I274" s="15" t="str">
        <f>IF(E274="","",IFERROR(INDEX(食材マスタ!$K$10:$K$309,MATCH(E274,食材マスタ!$C$10:$C$309,0)),""))</f>
        <v/>
      </c>
      <c r="J274" s="15" t="str">
        <f t="shared" si="20"/>
        <v/>
      </c>
      <c r="K274" s="20"/>
      <c r="L274" s="8" t="str">
        <f t="shared" si="21"/>
        <v/>
      </c>
      <c r="M274" s="9"/>
      <c r="N274" s="13" t="str">
        <f t="shared" si="22"/>
        <v/>
      </c>
      <c r="O274" s="22" t="str">
        <f t="shared" ca="1" si="23"/>
        <v/>
      </c>
      <c r="P274" s="17" t="str">
        <f t="shared" si="24"/>
        <v/>
      </c>
      <c r="Q274" s="11"/>
      <c r="R274" s="19"/>
      <c r="S274" s="19"/>
      <c r="U274">
        <f ca="1">IF(AND(ISNUMBER(O274),O274&lt;=設定!$C$4),1,0)</f>
        <v>0</v>
      </c>
      <c r="V274" t="str">
        <f ca="1">IF(U274=1,SUM($U$10:U274),"")</f>
        <v/>
      </c>
    </row>
    <row r="275" spans="2:22">
      <c r="B275" s="8" t="str">
        <f>IF(C275="","",COUNT($C$10:C275))</f>
        <v/>
      </c>
      <c r="C275" s="20"/>
      <c r="D275" s="11"/>
      <c r="E275" s="9"/>
      <c r="F275" s="21" t="str">
        <f>IF(E275="","",IFERROR(INDEX(食材マスタ!$D$10:$D$309,MATCH(E275,食材マスタ!$C$10:$C$309,0)),"※コード未登録"))</f>
        <v/>
      </c>
      <c r="G275" s="16"/>
      <c r="H275" s="8" t="str">
        <f>IF(E275="","",IFERROR(INDEX(食材マスタ!$H$10:$H$309,MATCH(E275,食材マスタ!$C$10:$C$309,0)),""))</f>
        <v/>
      </c>
      <c r="I275" s="15" t="str">
        <f>IF(E275="","",IFERROR(INDEX(食材マスタ!$K$10:$K$309,MATCH(E275,食材マスタ!$C$10:$C$309,0)),""))</f>
        <v/>
      </c>
      <c r="J275" s="15" t="str">
        <f t="shared" si="20"/>
        <v/>
      </c>
      <c r="K275" s="20"/>
      <c r="L275" s="8" t="str">
        <f t="shared" si="21"/>
        <v/>
      </c>
      <c r="M275" s="9"/>
      <c r="N275" s="13" t="str">
        <f t="shared" si="22"/>
        <v/>
      </c>
      <c r="O275" s="22" t="str">
        <f t="shared" ca="1" si="23"/>
        <v/>
      </c>
      <c r="P275" s="17" t="str">
        <f t="shared" si="24"/>
        <v/>
      </c>
      <c r="Q275" s="11"/>
      <c r="R275" s="19"/>
      <c r="S275" s="19"/>
      <c r="U275">
        <f ca="1">IF(AND(ISNUMBER(O275),O275&lt;=設定!$C$4),1,0)</f>
        <v>0</v>
      </c>
      <c r="V275" t="str">
        <f ca="1">IF(U275=1,SUM($U$10:U275),"")</f>
        <v/>
      </c>
    </row>
    <row r="276" spans="2:22">
      <c r="B276" s="8" t="str">
        <f>IF(C276="","",COUNT($C$10:C276))</f>
        <v/>
      </c>
      <c r="C276" s="20"/>
      <c r="D276" s="11"/>
      <c r="E276" s="9"/>
      <c r="F276" s="21" t="str">
        <f>IF(E276="","",IFERROR(INDEX(食材マスタ!$D$10:$D$309,MATCH(E276,食材マスタ!$C$10:$C$309,0)),"※コード未登録"))</f>
        <v/>
      </c>
      <c r="G276" s="16"/>
      <c r="H276" s="8" t="str">
        <f>IF(E276="","",IFERROR(INDEX(食材マスタ!$H$10:$H$309,MATCH(E276,食材マスタ!$C$10:$C$309,0)),""))</f>
        <v/>
      </c>
      <c r="I276" s="15" t="str">
        <f>IF(E276="","",IFERROR(INDEX(食材マスタ!$K$10:$K$309,MATCH(E276,食材マスタ!$C$10:$C$309,0)),""))</f>
        <v/>
      </c>
      <c r="J276" s="15" t="str">
        <f t="shared" si="20"/>
        <v/>
      </c>
      <c r="K276" s="20"/>
      <c r="L276" s="8" t="str">
        <f t="shared" si="21"/>
        <v/>
      </c>
      <c r="M276" s="9"/>
      <c r="N276" s="13" t="str">
        <f t="shared" si="22"/>
        <v/>
      </c>
      <c r="O276" s="22" t="str">
        <f t="shared" ca="1" si="23"/>
        <v/>
      </c>
      <c r="P276" s="17" t="str">
        <f t="shared" si="24"/>
        <v/>
      </c>
      <c r="Q276" s="11"/>
      <c r="R276" s="19"/>
      <c r="S276" s="19"/>
      <c r="U276">
        <f ca="1">IF(AND(ISNUMBER(O276),O276&lt;=設定!$C$4),1,0)</f>
        <v>0</v>
      </c>
      <c r="V276" t="str">
        <f ca="1">IF(U276=1,SUM($U$10:U276),"")</f>
        <v/>
      </c>
    </row>
    <row r="277" spans="2:22">
      <c r="B277" s="8" t="str">
        <f>IF(C277="","",COUNT($C$10:C277))</f>
        <v/>
      </c>
      <c r="C277" s="20"/>
      <c r="D277" s="11"/>
      <c r="E277" s="9"/>
      <c r="F277" s="21" t="str">
        <f>IF(E277="","",IFERROR(INDEX(食材マスタ!$D$10:$D$309,MATCH(E277,食材マスタ!$C$10:$C$309,0)),"※コード未登録"))</f>
        <v/>
      </c>
      <c r="G277" s="16"/>
      <c r="H277" s="8" t="str">
        <f>IF(E277="","",IFERROR(INDEX(食材マスタ!$H$10:$H$309,MATCH(E277,食材マスタ!$C$10:$C$309,0)),""))</f>
        <v/>
      </c>
      <c r="I277" s="15" t="str">
        <f>IF(E277="","",IFERROR(INDEX(食材マスタ!$K$10:$K$309,MATCH(E277,食材マスタ!$C$10:$C$309,0)),""))</f>
        <v/>
      </c>
      <c r="J277" s="15" t="str">
        <f t="shared" si="20"/>
        <v/>
      </c>
      <c r="K277" s="20"/>
      <c r="L277" s="8" t="str">
        <f t="shared" si="21"/>
        <v/>
      </c>
      <c r="M277" s="9"/>
      <c r="N277" s="13" t="str">
        <f t="shared" si="22"/>
        <v/>
      </c>
      <c r="O277" s="22" t="str">
        <f t="shared" ca="1" si="23"/>
        <v/>
      </c>
      <c r="P277" s="17" t="str">
        <f t="shared" si="24"/>
        <v/>
      </c>
      <c r="Q277" s="11"/>
      <c r="R277" s="19"/>
      <c r="S277" s="19"/>
      <c r="U277">
        <f ca="1">IF(AND(ISNUMBER(O277),O277&lt;=設定!$C$4),1,0)</f>
        <v>0</v>
      </c>
      <c r="V277" t="str">
        <f ca="1">IF(U277=1,SUM($U$10:U277),"")</f>
        <v/>
      </c>
    </row>
    <row r="278" spans="2:22">
      <c r="B278" s="8" t="str">
        <f>IF(C278="","",COUNT($C$10:C278))</f>
        <v/>
      </c>
      <c r="C278" s="20"/>
      <c r="D278" s="11"/>
      <c r="E278" s="9"/>
      <c r="F278" s="21" t="str">
        <f>IF(E278="","",IFERROR(INDEX(食材マスタ!$D$10:$D$309,MATCH(E278,食材マスタ!$C$10:$C$309,0)),"※コード未登録"))</f>
        <v/>
      </c>
      <c r="G278" s="16"/>
      <c r="H278" s="8" t="str">
        <f>IF(E278="","",IFERROR(INDEX(食材マスタ!$H$10:$H$309,MATCH(E278,食材マスタ!$C$10:$C$309,0)),""))</f>
        <v/>
      </c>
      <c r="I278" s="15" t="str">
        <f>IF(E278="","",IFERROR(INDEX(食材マスタ!$K$10:$K$309,MATCH(E278,食材マスタ!$C$10:$C$309,0)),""))</f>
        <v/>
      </c>
      <c r="J278" s="15" t="str">
        <f t="shared" si="20"/>
        <v/>
      </c>
      <c r="K278" s="20"/>
      <c r="L278" s="8" t="str">
        <f t="shared" si="21"/>
        <v/>
      </c>
      <c r="M278" s="9"/>
      <c r="N278" s="13" t="str">
        <f t="shared" si="22"/>
        <v/>
      </c>
      <c r="O278" s="22" t="str">
        <f t="shared" ca="1" si="23"/>
        <v/>
      </c>
      <c r="P278" s="17" t="str">
        <f t="shared" si="24"/>
        <v/>
      </c>
      <c r="Q278" s="11"/>
      <c r="R278" s="19"/>
      <c r="S278" s="19"/>
      <c r="U278">
        <f ca="1">IF(AND(ISNUMBER(O278),O278&lt;=設定!$C$4),1,0)</f>
        <v>0</v>
      </c>
      <c r="V278" t="str">
        <f ca="1">IF(U278=1,SUM($U$10:U278),"")</f>
        <v/>
      </c>
    </row>
    <row r="279" spans="2:22">
      <c r="B279" s="8" t="str">
        <f>IF(C279="","",COUNT($C$10:C279))</f>
        <v/>
      </c>
      <c r="C279" s="20"/>
      <c r="D279" s="11"/>
      <c r="E279" s="9"/>
      <c r="F279" s="21" t="str">
        <f>IF(E279="","",IFERROR(INDEX(食材マスタ!$D$10:$D$309,MATCH(E279,食材マスタ!$C$10:$C$309,0)),"※コード未登録"))</f>
        <v/>
      </c>
      <c r="G279" s="16"/>
      <c r="H279" s="8" t="str">
        <f>IF(E279="","",IFERROR(INDEX(食材マスタ!$H$10:$H$309,MATCH(E279,食材マスタ!$C$10:$C$309,0)),""))</f>
        <v/>
      </c>
      <c r="I279" s="15" t="str">
        <f>IF(E279="","",IFERROR(INDEX(食材マスタ!$K$10:$K$309,MATCH(E279,食材マスタ!$C$10:$C$309,0)),""))</f>
        <v/>
      </c>
      <c r="J279" s="15" t="str">
        <f t="shared" si="20"/>
        <v/>
      </c>
      <c r="K279" s="20"/>
      <c r="L279" s="8" t="str">
        <f t="shared" si="21"/>
        <v/>
      </c>
      <c r="M279" s="9"/>
      <c r="N279" s="13" t="str">
        <f t="shared" si="22"/>
        <v/>
      </c>
      <c r="O279" s="22" t="str">
        <f t="shared" ca="1" si="23"/>
        <v/>
      </c>
      <c r="P279" s="17" t="str">
        <f t="shared" si="24"/>
        <v/>
      </c>
      <c r="Q279" s="11"/>
      <c r="R279" s="19"/>
      <c r="S279" s="19"/>
      <c r="U279">
        <f ca="1">IF(AND(ISNUMBER(O279),O279&lt;=設定!$C$4),1,0)</f>
        <v>0</v>
      </c>
      <c r="V279" t="str">
        <f ca="1">IF(U279=1,SUM($U$10:U279),"")</f>
        <v/>
      </c>
    </row>
    <row r="280" spans="2:22">
      <c r="B280" s="8" t="str">
        <f>IF(C280="","",COUNT($C$10:C280))</f>
        <v/>
      </c>
      <c r="C280" s="20"/>
      <c r="D280" s="11"/>
      <c r="E280" s="9"/>
      <c r="F280" s="21" t="str">
        <f>IF(E280="","",IFERROR(INDEX(食材マスタ!$D$10:$D$309,MATCH(E280,食材マスタ!$C$10:$C$309,0)),"※コード未登録"))</f>
        <v/>
      </c>
      <c r="G280" s="16"/>
      <c r="H280" s="8" t="str">
        <f>IF(E280="","",IFERROR(INDEX(食材マスタ!$H$10:$H$309,MATCH(E280,食材マスタ!$C$10:$C$309,0)),""))</f>
        <v/>
      </c>
      <c r="I280" s="15" t="str">
        <f>IF(E280="","",IFERROR(INDEX(食材マスタ!$K$10:$K$309,MATCH(E280,食材マスタ!$C$10:$C$309,0)),""))</f>
        <v/>
      </c>
      <c r="J280" s="15" t="str">
        <f t="shared" si="20"/>
        <v/>
      </c>
      <c r="K280" s="20"/>
      <c r="L280" s="8" t="str">
        <f t="shared" si="21"/>
        <v/>
      </c>
      <c r="M280" s="9"/>
      <c r="N280" s="13" t="str">
        <f t="shared" si="22"/>
        <v/>
      </c>
      <c r="O280" s="22" t="str">
        <f t="shared" ca="1" si="23"/>
        <v/>
      </c>
      <c r="P280" s="17" t="str">
        <f t="shared" si="24"/>
        <v/>
      </c>
      <c r="Q280" s="11"/>
      <c r="R280" s="19"/>
      <c r="S280" s="19"/>
      <c r="U280">
        <f ca="1">IF(AND(ISNUMBER(O280),O280&lt;=設定!$C$4),1,0)</f>
        <v>0</v>
      </c>
      <c r="V280" t="str">
        <f ca="1">IF(U280=1,SUM($U$10:U280),"")</f>
        <v/>
      </c>
    </row>
    <row r="281" spans="2:22">
      <c r="B281" s="8" t="str">
        <f>IF(C281="","",COUNT($C$10:C281))</f>
        <v/>
      </c>
      <c r="C281" s="20"/>
      <c r="D281" s="11"/>
      <c r="E281" s="9"/>
      <c r="F281" s="21" t="str">
        <f>IF(E281="","",IFERROR(INDEX(食材マスタ!$D$10:$D$309,MATCH(E281,食材マスタ!$C$10:$C$309,0)),"※コード未登録"))</f>
        <v/>
      </c>
      <c r="G281" s="16"/>
      <c r="H281" s="8" t="str">
        <f>IF(E281="","",IFERROR(INDEX(食材マスタ!$H$10:$H$309,MATCH(E281,食材マスタ!$C$10:$C$309,0)),""))</f>
        <v/>
      </c>
      <c r="I281" s="15" t="str">
        <f>IF(E281="","",IFERROR(INDEX(食材マスタ!$K$10:$K$309,MATCH(E281,食材マスタ!$C$10:$C$309,0)),""))</f>
        <v/>
      </c>
      <c r="J281" s="15" t="str">
        <f t="shared" si="20"/>
        <v/>
      </c>
      <c r="K281" s="20"/>
      <c r="L281" s="8" t="str">
        <f t="shared" si="21"/>
        <v/>
      </c>
      <c r="M281" s="9"/>
      <c r="N281" s="13" t="str">
        <f t="shared" si="22"/>
        <v/>
      </c>
      <c r="O281" s="22" t="str">
        <f t="shared" ca="1" si="23"/>
        <v/>
      </c>
      <c r="P281" s="17" t="str">
        <f t="shared" si="24"/>
        <v/>
      </c>
      <c r="Q281" s="11"/>
      <c r="R281" s="19"/>
      <c r="S281" s="19"/>
      <c r="U281">
        <f ca="1">IF(AND(ISNUMBER(O281),O281&lt;=設定!$C$4),1,0)</f>
        <v>0</v>
      </c>
      <c r="V281" t="str">
        <f ca="1">IF(U281=1,SUM($U$10:U281),"")</f>
        <v/>
      </c>
    </row>
    <row r="282" spans="2:22">
      <c r="B282" s="8" t="str">
        <f>IF(C282="","",COUNT($C$10:C282))</f>
        <v/>
      </c>
      <c r="C282" s="20"/>
      <c r="D282" s="11"/>
      <c r="E282" s="9"/>
      <c r="F282" s="21" t="str">
        <f>IF(E282="","",IFERROR(INDEX(食材マスタ!$D$10:$D$309,MATCH(E282,食材マスタ!$C$10:$C$309,0)),"※コード未登録"))</f>
        <v/>
      </c>
      <c r="G282" s="16"/>
      <c r="H282" s="8" t="str">
        <f>IF(E282="","",IFERROR(INDEX(食材マスタ!$H$10:$H$309,MATCH(E282,食材マスタ!$C$10:$C$309,0)),""))</f>
        <v/>
      </c>
      <c r="I282" s="15" t="str">
        <f>IF(E282="","",IFERROR(INDEX(食材マスタ!$K$10:$K$309,MATCH(E282,食材マスタ!$C$10:$C$309,0)),""))</f>
        <v/>
      </c>
      <c r="J282" s="15" t="str">
        <f t="shared" si="20"/>
        <v/>
      </c>
      <c r="K282" s="20"/>
      <c r="L282" s="8" t="str">
        <f t="shared" si="21"/>
        <v/>
      </c>
      <c r="M282" s="9"/>
      <c r="N282" s="13" t="str">
        <f t="shared" si="22"/>
        <v/>
      </c>
      <c r="O282" s="22" t="str">
        <f t="shared" ca="1" si="23"/>
        <v/>
      </c>
      <c r="P282" s="17" t="str">
        <f t="shared" si="24"/>
        <v/>
      </c>
      <c r="Q282" s="11"/>
      <c r="R282" s="19"/>
      <c r="S282" s="19"/>
      <c r="U282">
        <f ca="1">IF(AND(ISNUMBER(O282),O282&lt;=設定!$C$4),1,0)</f>
        <v>0</v>
      </c>
      <c r="V282" t="str">
        <f ca="1">IF(U282=1,SUM($U$10:U282),"")</f>
        <v/>
      </c>
    </row>
    <row r="283" spans="2:22">
      <c r="B283" s="8" t="str">
        <f>IF(C283="","",COUNT($C$10:C283))</f>
        <v/>
      </c>
      <c r="C283" s="20"/>
      <c r="D283" s="11"/>
      <c r="E283" s="9"/>
      <c r="F283" s="21" t="str">
        <f>IF(E283="","",IFERROR(INDEX(食材マスタ!$D$10:$D$309,MATCH(E283,食材マスタ!$C$10:$C$309,0)),"※コード未登録"))</f>
        <v/>
      </c>
      <c r="G283" s="16"/>
      <c r="H283" s="8" t="str">
        <f>IF(E283="","",IFERROR(INDEX(食材マスタ!$H$10:$H$309,MATCH(E283,食材マスタ!$C$10:$C$309,0)),""))</f>
        <v/>
      </c>
      <c r="I283" s="15" t="str">
        <f>IF(E283="","",IFERROR(INDEX(食材マスタ!$K$10:$K$309,MATCH(E283,食材マスタ!$C$10:$C$309,0)),""))</f>
        <v/>
      </c>
      <c r="J283" s="15" t="str">
        <f t="shared" si="20"/>
        <v/>
      </c>
      <c r="K283" s="20"/>
      <c r="L283" s="8" t="str">
        <f t="shared" si="21"/>
        <v/>
      </c>
      <c r="M283" s="9"/>
      <c r="N283" s="13" t="str">
        <f t="shared" si="22"/>
        <v/>
      </c>
      <c r="O283" s="22" t="str">
        <f t="shared" ca="1" si="23"/>
        <v/>
      </c>
      <c r="P283" s="17" t="str">
        <f t="shared" si="24"/>
        <v/>
      </c>
      <c r="Q283" s="11"/>
      <c r="R283" s="19"/>
      <c r="S283" s="19"/>
      <c r="U283">
        <f ca="1">IF(AND(ISNUMBER(O283),O283&lt;=設定!$C$4),1,0)</f>
        <v>0</v>
      </c>
      <c r="V283" t="str">
        <f ca="1">IF(U283=1,SUM($U$10:U283),"")</f>
        <v/>
      </c>
    </row>
    <row r="284" spans="2:22">
      <c r="B284" s="8" t="str">
        <f>IF(C284="","",COUNT($C$10:C284))</f>
        <v/>
      </c>
      <c r="C284" s="20"/>
      <c r="D284" s="11"/>
      <c r="E284" s="9"/>
      <c r="F284" s="21" t="str">
        <f>IF(E284="","",IFERROR(INDEX(食材マスタ!$D$10:$D$309,MATCH(E284,食材マスタ!$C$10:$C$309,0)),"※コード未登録"))</f>
        <v/>
      </c>
      <c r="G284" s="16"/>
      <c r="H284" s="8" t="str">
        <f>IF(E284="","",IFERROR(INDEX(食材マスタ!$H$10:$H$309,MATCH(E284,食材マスタ!$C$10:$C$309,0)),""))</f>
        <v/>
      </c>
      <c r="I284" s="15" t="str">
        <f>IF(E284="","",IFERROR(INDEX(食材マスタ!$K$10:$K$309,MATCH(E284,食材マスタ!$C$10:$C$309,0)),""))</f>
        <v/>
      </c>
      <c r="J284" s="15" t="str">
        <f t="shared" si="20"/>
        <v/>
      </c>
      <c r="K284" s="20"/>
      <c r="L284" s="8" t="str">
        <f t="shared" si="21"/>
        <v/>
      </c>
      <c r="M284" s="9"/>
      <c r="N284" s="13" t="str">
        <f t="shared" si="22"/>
        <v/>
      </c>
      <c r="O284" s="22" t="str">
        <f t="shared" ca="1" si="23"/>
        <v/>
      </c>
      <c r="P284" s="17" t="str">
        <f t="shared" si="24"/>
        <v/>
      </c>
      <c r="Q284" s="11"/>
      <c r="R284" s="19"/>
      <c r="S284" s="19"/>
      <c r="U284">
        <f ca="1">IF(AND(ISNUMBER(O284),O284&lt;=設定!$C$4),1,0)</f>
        <v>0</v>
      </c>
      <c r="V284" t="str">
        <f ca="1">IF(U284=1,SUM($U$10:U284),"")</f>
        <v/>
      </c>
    </row>
    <row r="285" spans="2:22">
      <c r="B285" s="8" t="str">
        <f>IF(C285="","",COUNT($C$10:C285))</f>
        <v/>
      </c>
      <c r="C285" s="20"/>
      <c r="D285" s="11"/>
      <c r="E285" s="9"/>
      <c r="F285" s="21" t="str">
        <f>IF(E285="","",IFERROR(INDEX(食材マスタ!$D$10:$D$309,MATCH(E285,食材マスタ!$C$10:$C$309,0)),"※コード未登録"))</f>
        <v/>
      </c>
      <c r="G285" s="16"/>
      <c r="H285" s="8" t="str">
        <f>IF(E285="","",IFERROR(INDEX(食材マスタ!$H$10:$H$309,MATCH(E285,食材マスタ!$C$10:$C$309,0)),""))</f>
        <v/>
      </c>
      <c r="I285" s="15" t="str">
        <f>IF(E285="","",IFERROR(INDEX(食材マスタ!$K$10:$K$309,MATCH(E285,食材マスタ!$C$10:$C$309,0)),""))</f>
        <v/>
      </c>
      <c r="J285" s="15" t="str">
        <f t="shared" si="20"/>
        <v/>
      </c>
      <c r="K285" s="20"/>
      <c r="L285" s="8" t="str">
        <f t="shared" si="21"/>
        <v/>
      </c>
      <c r="M285" s="9"/>
      <c r="N285" s="13" t="str">
        <f t="shared" si="22"/>
        <v/>
      </c>
      <c r="O285" s="22" t="str">
        <f t="shared" ca="1" si="23"/>
        <v/>
      </c>
      <c r="P285" s="17" t="str">
        <f t="shared" si="24"/>
        <v/>
      </c>
      <c r="Q285" s="11"/>
      <c r="R285" s="19"/>
      <c r="S285" s="19"/>
      <c r="U285">
        <f ca="1">IF(AND(ISNUMBER(O285),O285&lt;=設定!$C$4),1,0)</f>
        <v>0</v>
      </c>
      <c r="V285" t="str">
        <f ca="1">IF(U285=1,SUM($U$10:U285),"")</f>
        <v/>
      </c>
    </row>
    <row r="286" spans="2:22">
      <c r="B286" s="8" t="str">
        <f>IF(C286="","",COUNT($C$10:C286))</f>
        <v/>
      </c>
      <c r="C286" s="20"/>
      <c r="D286" s="11"/>
      <c r="E286" s="9"/>
      <c r="F286" s="21" t="str">
        <f>IF(E286="","",IFERROR(INDEX(食材マスタ!$D$10:$D$309,MATCH(E286,食材マスタ!$C$10:$C$309,0)),"※コード未登録"))</f>
        <v/>
      </c>
      <c r="G286" s="16"/>
      <c r="H286" s="8" t="str">
        <f>IF(E286="","",IFERROR(INDEX(食材マスタ!$H$10:$H$309,MATCH(E286,食材マスタ!$C$10:$C$309,0)),""))</f>
        <v/>
      </c>
      <c r="I286" s="15" t="str">
        <f>IF(E286="","",IFERROR(INDEX(食材マスタ!$K$10:$K$309,MATCH(E286,食材マスタ!$C$10:$C$309,0)),""))</f>
        <v/>
      </c>
      <c r="J286" s="15" t="str">
        <f t="shared" si="20"/>
        <v/>
      </c>
      <c r="K286" s="20"/>
      <c r="L286" s="8" t="str">
        <f t="shared" si="21"/>
        <v/>
      </c>
      <c r="M286" s="9"/>
      <c r="N286" s="13" t="str">
        <f t="shared" si="22"/>
        <v/>
      </c>
      <c r="O286" s="22" t="str">
        <f t="shared" ca="1" si="23"/>
        <v/>
      </c>
      <c r="P286" s="17" t="str">
        <f t="shared" si="24"/>
        <v/>
      </c>
      <c r="Q286" s="11"/>
      <c r="R286" s="19"/>
      <c r="S286" s="19"/>
      <c r="U286">
        <f ca="1">IF(AND(ISNUMBER(O286),O286&lt;=設定!$C$4),1,0)</f>
        <v>0</v>
      </c>
      <c r="V286" t="str">
        <f ca="1">IF(U286=1,SUM($U$10:U286),"")</f>
        <v/>
      </c>
    </row>
    <row r="287" spans="2:22">
      <c r="B287" s="8" t="str">
        <f>IF(C287="","",COUNT($C$10:C287))</f>
        <v/>
      </c>
      <c r="C287" s="20"/>
      <c r="D287" s="11"/>
      <c r="E287" s="9"/>
      <c r="F287" s="21" t="str">
        <f>IF(E287="","",IFERROR(INDEX(食材マスタ!$D$10:$D$309,MATCH(E287,食材マスタ!$C$10:$C$309,0)),"※コード未登録"))</f>
        <v/>
      </c>
      <c r="G287" s="16"/>
      <c r="H287" s="8" t="str">
        <f>IF(E287="","",IFERROR(INDEX(食材マスタ!$H$10:$H$309,MATCH(E287,食材マスタ!$C$10:$C$309,0)),""))</f>
        <v/>
      </c>
      <c r="I287" s="15" t="str">
        <f>IF(E287="","",IFERROR(INDEX(食材マスタ!$K$10:$K$309,MATCH(E287,食材マスタ!$C$10:$C$309,0)),""))</f>
        <v/>
      </c>
      <c r="J287" s="15" t="str">
        <f t="shared" si="20"/>
        <v/>
      </c>
      <c r="K287" s="20"/>
      <c r="L287" s="8" t="str">
        <f t="shared" si="21"/>
        <v/>
      </c>
      <c r="M287" s="9"/>
      <c r="N287" s="13" t="str">
        <f t="shared" si="22"/>
        <v/>
      </c>
      <c r="O287" s="22" t="str">
        <f t="shared" ca="1" si="23"/>
        <v/>
      </c>
      <c r="P287" s="17" t="str">
        <f t="shared" si="24"/>
        <v/>
      </c>
      <c r="Q287" s="11"/>
      <c r="R287" s="19"/>
      <c r="S287" s="19"/>
      <c r="U287">
        <f ca="1">IF(AND(ISNUMBER(O287),O287&lt;=設定!$C$4),1,0)</f>
        <v>0</v>
      </c>
      <c r="V287" t="str">
        <f ca="1">IF(U287=1,SUM($U$10:U287),"")</f>
        <v/>
      </c>
    </row>
    <row r="288" spans="2:22">
      <c r="B288" s="8" t="str">
        <f>IF(C288="","",COUNT($C$10:C288))</f>
        <v/>
      </c>
      <c r="C288" s="20"/>
      <c r="D288" s="11"/>
      <c r="E288" s="9"/>
      <c r="F288" s="21" t="str">
        <f>IF(E288="","",IFERROR(INDEX(食材マスタ!$D$10:$D$309,MATCH(E288,食材マスタ!$C$10:$C$309,0)),"※コード未登録"))</f>
        <v/>
      </c>
      <c r="G288" s="16"/>
      <c r="H288" s="8" t="str">
        <f>IF(E288="","",IFERROR(INDEX(食材マスタ!$H$10:$H$309,MATCH(E288,食材マスタ!$C$10:$C$309,0)),""))</f>
        <v/>
      </c>
      <c r="I288" s="15" t="str">
        <f>IF(E288="","",IFERROR(INDEX(食材マスタ!$K$10:$K$309,MATCH(E288,食材マスタ!$C$10:$C$309,0)),""))</f>
        <v/>
      </c>
      <c r="J288" s="15" t="str">
        <f t="shared" si="20"/>
        <v/>
      </c>
      <c r="K288" s="20"/>
      <c r="L288" s="8" t="str">
        <f t="shared" si="21"/>
        <v/>
      </c>
      <c r="M288" s="9"/>
      <c r="N288" s="13" t="str">
        <f t="shared" si="22"/>
        <v/>
      </c>
      <c r="O288" s="22" t="str">
        <f t="shared" ca="1" si="23"/>
        <v/>
      </c>
      <c r="P288" s="17" t="str">
        <f t="shared" si="24"/>
        <v/>
      </c>
      <c r="Q288" s="11"/>
      <c r="R288" s="19"/>
      <c r="S288" s="19"/>
      <c r="U288">
        <f ca="1">IF(AND(ISNUMBER(O288),O288&lt;=設定!$C$4),1,0)</f>
        <v>0</v>
      </c>
      <c r="V288" t="str">
        <f ca="1">IF(U288=1,SUM($U$10:U288),"")</f>
        <v/>
      </c>
    </row>
    <row r="289" spans="2:22">
      <c r="B289" s="8" t="str">
        <f>IF(C289="","",COUNT($C$10:C289))</f>
        <v/>
      </c>
      <c r="C289" s="20"/>
      <c r="D289" s="11"/>
      <c r="E289" s="9"/>
      <c r="F289" s="21" t="str">
        <f>IF(E289="","",IFERROR(INDEX(食材マスタ!$D$10:$D$309,MATCH(E289,食材マスタ!$C$10:$C$309,0)),"※コード未登録"))</f>
        <v/>
      </c>
      <c r="G289" s="16"/>
      <c r="H289" s="8" t="str">
        <f>IF(E289="","",IFERROR(INDEX(食材マスタ!$H$10:$H$309,MATCH(E289,食材マスタ!$C$10:$C$309,0)),""))</f>
        <v/>
      </c>
      <c r="I289" s="15" t="str">
        <f>IF(E289="","",IFERROR(INDEX(食材マスタ!$K$10:$K$309,MATCH(E289,食材マスタ!$C$10:$C$309,0)),""))</f>
        <v/>
      </c>
      <c r="J289" s="15" t="str">
        <f t="shared" si="20"/>
        <v/>
      </c>
      <c r="K289" s="20"/>
      <c r="L289" s="8" t="str">
        <f t="shared" si="21"/>
        <v/>
      </c>
      <c r="M289" s="9"/>
      <c r="N289" s="13" t="str">
        <f t="shared" si="22"/>
        <v/>
      </c>
      <c r="O289" s="22" t="str">
        <f t="shared" ca="1" si="23"/>
        <v/>
      </c>
      <c r="P289" s="17" t="str">
        <f t="shared" si="24"/>
        <v/>
      </c>
      <c r="Q289" s="11"/>
      <c r="R289" s="19"/>
      <c r="S289" s="19"/>
      <c r="U289">
        <f ca="1">IF(AND(ISNUMBER(O289),O289&lt;=設定!$C$4),1,0)</f>
        <v>0</v>
      </c>
      <c r="V289" t="str">
        <f ca="1">IF(U289=1,SUM($U$10:U289),"")</f>
        <v/>
      </c>
    </row>
    <row r="290" spans="2:22">
      <c r="B290" s="8" t="str">
        <f>IF(C290="","",COUNT($C$10:C290))</f>
        <v/>
      </c>
      <c r="C290" s="20"/>
      <c r="D290" s="11"/>
      <c r="E290" s="9"/>
      <c r="F290" s="21" t="str">
        <f>IF(E290="","",IFERROR(INDEX(食材マスタ!$D$10:$D$309,MATCH(E290,食材マスタ!$C$10:$C$309,0)),"※コード未登録"))</f>
        <v/>
      </c>
      <c r="G290" s="16"/>
      <c r="H290" s="8" t="str">
        <f>IF(E290="","",IFERROR(INDEX(食材マスタ!$H$10:$H$309,MATCH(E290,食材マスタ!$C$10:$C$309,0)),""))</f>
        <v/>
      </c>
      <c r="I290" s="15" t="str">
        <f>IF(E290="","",IFERROR(INDEX(食材マスタ!$K$10:$K$309,MATCH(E290,食材マスタ!$C$10:$C$309,0)),""))</f>
        <v/>
      </c>
      <c r="J290" s="15" t="str">
        <f t="shared" si="20"/>
        <v/>
      </c>
      <c r="K290" s="20"/>
      <c r="L290" s="8" t="str">
        <f t="shared" si="21"/>
        <v/>
      </c>
      <c r="M290" s="9"/>
      <c r="N290" s="13" t="str">
        <f t="shared" si="22"/>
        <v/>
      </c>
      <c r="O290" s="22" t="str">
        <f t="shared" ca="1" si="23"/>
        <v/>
      </c>
      <c r="P290" s="17" t="str">
        <f t="shared" si="24"/>
        <v/>
      </c>
      <c r="Q290" s="11"/>
      <c r="R290" s="19"/>
      <c r="S290" s="19"/>
      <c r="U290">
        <f ca="1">IF(AND(ISNUMBER(O290),O290&lt;=設定!$C$4),1,0)</f>
        <v>0</v>
      </c>
      <c r="V290" t="str">
        <f ca="1">IF(U290=1,SUM($U$10:U290),"")</f>
        <v/>
      </c>
    </row>
    <row r="291" spans="2:22">
      <c r="B291" s="8" t="str">
        <f>IF(C291="","",COUNT($C$10:C291))</f>
        <v/>
      </c>
      <c r="C291" s="20"/>
      <c r="D291" s="11"/>
      <c r="E291" s="9"/>
      <c r="F291" s="21" t="str">
        <f>IF(E291="","",IFERROR(INDEX(食材マスタ!$D$10:$D$309,MATCH(E291,食材マスタ!$C$10:$C$309,0)),"※コード未登録"))</f>
        <v/>
      </c>
      <c r="G291" s="16"/>
      <c r="H291" s="8" t="str">
        <f>IF(E291="","",IFERROR(INDEX(食材マスタ!$H$10:$H$309,MATCH(E291,食材マスタ!$C$10:$C$309,0)),""))</f>
        <v/>
      </c>
      <c r="I291" s="15" t="str">
        <f>IF(E291="","",IFERROR(INDEX(食材マスタ!$K$10:$K$309,MATCH(E291,食材マスタ!$C$10:$C$309,0)),""))</f>
        <v/>
      </c>
      <c r="J291" s="15" t="str">
        <f t="shared" si="20"/>
        <v/>
      </c>
      <c r="K291" s="20"/>
      <c r="L291" s="8" t="str">
        <f t="shared" si="21"/>
        <v/>
      </c>
      <c r="M291" s="9"/>
      <c r="N291" s="13" t="str">
        <f t="shared" si="22"/>
        <v/>
      </c>
      <c r="O291" s="22" t="str">
        <f t="shared" ca="1" si="23"/>
        <v/>
      </c>
      <c r="P291" s="17" t="str">
        <f t="shared" si="24"/>
        <v/>
      </c>
      <c r="Q291" s="11"/>
      <c r="R291" s="19"/>
      <c r="S291" s="19"/>
      <c r="U291">
        <f ca="1">IF(AND(ISNUMBER(O291),O291&lt;=設定!$C$4),1,0)</f>
        <v>0</v>
      </c>
      <c r="V291" t="str">
        <f ca="1">IF(U291=1,SUM($U$10:U291),"")</f>
        <v/>
      </c>
    </row>
    <row r="292" spans="2:22">
      <c r="B292" s="8" t="str">
        <f>IF(C292="","",COUNT($C$10:C292))</f>
        <v/>
      </c>
      <c r="C292" s="20"/>
      <c r="D292" s="11"/>
      <c r="E292" s="9"/>
      <c r="F292" s="21" t="str">
        <f>IF(E292="","",IFERROR(INDEX(食材マスタ!$D$10:$D$309,MATCH(E292,食材マスタ!$C$10:$C$309,0)),"※コード未登録"))</f>
        <v/>
      </c>
      <c r="G292" s="16"/>
      <c r="H292" s="8" t="str">
        <f>IF(E292="","",IFERROR(INDEX(食材マスタ!$H$10:$H$309,MATCH(E292,食材マスタ!$C$10:$C$309,0)),""))</f>
        <v/>
      </c>
      <c r="I292" s="15" t="str">
        <f>IF(E292="","",IFERROR(INDEX(食材マスタ!$K$10:$K$309,MATCH(E292,食材マスタ!$C$10:$C$309,0)),""))</f>
        <v/>
      </c>
      <c r="J292" s="15" t="str">
        <f t="shared" si="20"/>
        <v/>
      </c>
      <c r="K292" s="20"/>
      <c r="L292" s="8" t="str">
        <f t="shared" si="21"/>
        <v/>
      </c>
      <c r="M292" s="9"/>
      <c r="N292" s="13" t="str">
        <f t="shared" si="22"/>
        <v/>
      </c>
      <c r="O292" s="22" t="str">
        <f t="shared" ca="1" si="23"/>
        <v/>
      </c>
      <c r="P292" s="17" t="str">
        <f t="shared" si="24"/>
        <v/>
      </c>
      <c r="Q292" s="11"/>
      <c r="R292" s="19"/>
      <c r="S292" s="19"/>
      <c r="U292">
        <f ca="1">IF(AND(ISNUMBER(O292),O292&lt;=設定!$C$4),1,0)</f>
        <v>0</v>
      </c>
      <c r="V292" t="str">
        <f ca="1">IF(U292=1,SUM($U$10:U292),"")</f>
        <v/>
      </c>
    </row>
    <row r="293" spans="2:22">
      <c r="B293" s="8" t="str">
        <f>IF(C293="","",COUNT($C$10:C293))</f>
        <v/>
      </c>
      <c r="C293" s="20"/>
      <c r="D293" s="11"/>
      <c r="E293" s="9"/>
      <c r="F293" s="21" t="str">
        <f>IF(E293="","",IFERROR(INDEX(食材マスタ!$D$10:$D$309,MATCH(E293,食材マスタ!$C$10:$C$309,0)),"※コード未登録"))</f>
        <v/>
      </c>
      <c r="G293" s="16"/>
      <c r="H293" s="8" t="str">
        <f>IF(E293="","",IFERROR(INDEX(食材マスタ!$H$10:$H$309,MATCH(E293,食材マスタ!$C$10:$C$309,0)),""))</f>
        <v/>
      </c>
      <c r="I293" s="15" t="str">
        <f>IF(E293="","",IFERROR(INDEX(食材マスタ!$K$10:$K$309,MATCH(E293,食材マスタ!$C$10:$C$309,0)),""))</f>
        <v/>
      </c>
      <c r="J293" s="15" t="str">
        <f t="shared" si="20"/>
        <v/>
      </c>
      <c r="K293" s="20"/>
      <c r="L293" s="8" t="str">
        <f t="shared" si="21"/>
        <v/>
      </c>
      <c r="M293" s="9"/>
      <c r="N293" s="13" t="str">
        <f t="shared" si="22"/>
        <v/>
      </c>
      <c r="O293" s="22" t="str">
        <f t="shared" ca="1" si="23"/>
        <v/>
      </c>
      <c r="P293" s="17" t="str">
        <f t="shared" si="24"/>
        <v/>
      </c>
      <c r="Q293" s="11"/>
      <c r="R293" s="19"/>
      <c r="S293" s="19"/>
      <c r="U293">
        <f ca="1">IF(AND(ISNUMBER(O293),O293&lt;=設定!$C$4),1,0)</f>
        <v>0</v>
      </c>
      <c r="V293" t="str">
        <f ca="1">IF(U293=1,SUM($U$10:U293),"")</f>
        <v/>
      </c>
    </row>
    <row r="294" spans="2:22">
      <c r="B294" s="8" t="str">
        <f>IF(C294="","",COUNT($C$10:C294))</f>
        <v/>
      </c>
      <c r="C294" s="20"/>
      <c r="D294" s="11"/>
      <c r="E294" s="9"/>
      <c r="F294" s="21" t="str">
        <f>IF(E294="","",IFERROR(INDEX(食材マスタ!$D$10:$D$309,MATCH(E294,食材マスタ!$C$10:$C$309,0)),"※コード未登録"))</f>
        <v/>
      </c>
      <c r="G294" s="16"/>
      <c r="H294" s="8" t="str">
        <f>IF(E294="","",IFERROR(INDEX(食材マスタ!$H$10:$H$309,MATCH(E294,食材マスタ!$C$10:$C$309,0)),""))</f>
        <v/>
      </c>
      <c r="I294" s="15" t="str">
        <f>IF(E294="","",IFERROR(INDEX(食材マスタ!$K$10:$K$309,MATCH(E294,食材マスタ!$C$10:$C$309,0)),""))</f>
        <v/>
      </c>
      <c r="J294" s="15" t="str">
        <f t="shared" si="20"/>
        <v/>
      </c>
      <c r="K294" s="20"/>
      <c r="L294" s="8" t="str">
        <f t="shared" si="21"/>
        <v/>
      </c>
      <c r="M294" s="9"/>
      <c r="N294" s="13" t="str">
        <f t="shared" si="22"/>
        <v/>
      </c>
      <c r="O294" s="22" t="str">
        <f t="shared" ca="1" si="23"/>
        <v/>
      </c>
      <c r="P294" s="17" t="str">
        <f t="shared" si="24"/>
        <v/>
      </c>
      <c r="Q294" s="11"/>
      <c r="R294" s="19"/>
      <c r="S294" s="19"/>
      <c r="U294">
        <f ca="1">IF(AND(ISNUMBER(O294),O294&lt;=設定!$C$4),1,0)</f>
        <v>0</v>
      </c>
      <c r="V294" t="str">
        <f ca="1">IF(U294=1,SUM($U$10:U294),"")</f>
        <v/>
      </c>
    </row>
    <row r="295" spans="2:22">
      <c r="B295" s="8" t="str">
        <f>IF(C295="","",COUNT($C$10:C295))</f>
        <v/>
      </c>
      <c r="C295" s="20"/>
      <c r="D295" s="11"/>
      <c r="E295" s="9"/>
      <c r="F295" s="21" t="str">
        <f>IF(E295="","",IFERROR(INDEX(食材マスタ!$D$10:$D$309,MATCH(E295,食材マスタ!$C$10:$C$309,0)),"※コード未登録"))</f>
        <v/>
      </c>
      <c r="G295" s="16"/>
      <c r="H295" s="8" t="str">
        <f>IF(E295="","",IFERROR(INDEX(食材マスタ!$H$10:$H$309,MATCH(E295,食材マスタ!$C$10:$C$309,0)),""))</f>
        <v/>
      </c>
      <c r="I295" s="15" t="str">
        <f>IF(E295="","",IFERROR(INDEX(食材マスタ!$K$10:$K$309,MATCH(E295,食材マスタ!$C$10:$C$309,0)),""))</f>
        <v/>
      </c>
      <c r="J295" s="15" t="str">
        <f t="shared" si="20"/>
        <v/>
      </c>
      <c r="K295" s="20"/>
      <c r="L295" s="8" t="str">
        <f t="shared" si="21"/>
        <v/>
      </c>
      <c r="M295" s="9"/>
      <c r="N295" s="13" t="str">
        <f t="shared" si="22"/>
        <v/>
      </c>
      <c r="O295" s="22" t="str">
        <f t="shared" ca="1" si="23"/>
        <v/>
      </c>
      <c r="P295" s="17" t="str">
        <f t="shared" si="24"/>
        <v/>
      </c>
      <c r="Q295" s="11"/>
      <c r="R295" s="19"/>
      <c r="S295" s="19"/>
      <c r="U295">
        <f ca="1">IF(AND(ISNUMBER(O295),O295&lt;=設定!$C$4),1,0)</f>
        <v>0</v>
      </c>
      <c r="V295" t="str">
        <f ca="1">IF(U295=1,SUM($U$10:U295),"")</f>
        <v/>
      </c>
    </row>
    <row r="296" spans="2:22">
      <c r="B296" s="8" t="str">
        <f>IF(C296="","",COUNT($C$10:C296))</f>
        <v/>
      </c>
      <c r="C296" s="20"/>
      <c r="D296" s="11"/>
      <c r="E296" s="9"/>
      <c r="F296" s="21" t="str">
        <f>IF(E296="","",IFERROR(INDEX(食材マスタ!$D$10:$D$309,MATCH(E296,食材マスタ!$C$10:$C$309,0)),"※コード未登録"))</f>
        <v/>
      </c>
      <c r="G296" s="16"/>
      <c r="H296" s="8" t="str">
        <f>IF(E296="","",IFERROR(INDEX(食材マスタ!$H$10:$H$309,MATCH(E296,食材マスタ!$C$10:$C$309,0)),""))</f>
        <v/>
      </c>
      <c r="I296" s="15" t="str">
        <f>IF(E296="","",IFERROR(INDEX(食材マスタ!$K$10:$K$309,MATCH(E296,食材マスタ!$C$10:$C$309,0)),""))</f>
        <v/>
      </c>
      <c r="J296" s="15" t="str">
        <f t="shared" si="20"/>
        <v/>
      </c>
      <c r="K296" s="20"/>
      <c r="L296" s="8" t="str">
        <f t="shared" si="21"/>
        <v/>
      </c>
      <c r="M296" s="9"/>
      <c r="N296" s="13" t="str">
        <f t="shared" si="22"/>
        <v/>
      </c>
      <c r="O296" s="22" t="str">
        <f t="shared" ca="1" si="23"/>
        <v/>
      </c>
      <c r="P296" s="17" t="str">
        <f t="shared" si="24"/>
        <v/>
      </c>
      <c r="Q296" s="11"/>
      <c r="R296" s="19"/>
      <c r="S296" s="19"/>
      <c r="U296">
        <f ca="1">IF(AND(ISNUMBER(O296),O296&lt;=設定!$C$4),1,0)</f>
        <v>0</v>
      </c>
      <c r="V296" t="str">
        <f ca="1">IF(U296=1,SUM($U$10:U296),"")</f>
        <v/>
      </c>
    </row>
    <row r="297" spans="2:22">
      <c r="B297" s="8" t="str">
        <f>IF(C297="","",COUNT($C$10:C297))</f>
        <v/>
      </c>
      <c r="C297" s="20"/>
      <c r="D297" s="11"/>
      <c r="E297" s="9"/>
      <c r="F297" s="21" t="str">
        <f>IF(E297="","",IFERROR(INDEX(食材マスタ!$D$10:$D$309,MATCH(E297,食材マスタ!$C$10:$C$309,0)),"※コード未登録"))</f>
        <v/>
      </c>
      <c r="G297" s="16"/>
      <c r="H297" s="8" t="str">
        <f>IF(E297="","",IFERROR(INDEX(食材マスタ!$H$10:$H$309,MATCH(E297,食材マスタ!$C$10:$C$309,0)),""))</f>
        <v/>
      </c>
      <c r="I297" s="15" t="str">
        <f>IF(E297="","",IFERROR(INDEX(食材マスタ!$K$10:$K$309,MATCH(E297,食材マスタ!$C$10:$C$309,0)),""))</f>
        <v/>
      </c>
      <c r="J297" s="15" t="str">
        <f t="shared" si="20"/>
        <v/>
      </c>
      <c r="K297" s="20"/>
      <c r="L297" s="8" t="str">
        <f t="shared" si="21"/>
        <v/>
      </c>
      <c r="M297" s="9"/>
      <c r="N297" s="13" t="str">
        <f t="shared" si="22"/>
        <v/>
      </c>
      <c r="O297" s="22" t="str">
        <f t="shared" ca="1" si="23"/>
        <v/>
      </c>
      <c r="P297" s="17" t="str">
        <f t="shared" si="24"/>
        <v/>
      </c>
      <c r="Q297" s="11"/>
      <c r="R297" s="19"/>
      <c r="S297" s="19"/>
      <c r="U297">
        <f ca="1">IF(AND(ISNUMBER(O297),O297&lt;=設定!$C$4),1,0)</f>
        <v>0</v>
      </c>
      <c r="V297" t="str">
        <f ca="1">IF(U297=1,SUM($U$10:U297),"")</f>
        <v/>
      </c>
    </row>
    <row r="298" spans="2:22">
      <c r="B298" s="8" t="str">
        <f>IF(C298="","",COUNT($C$10:C298))</f>
        <v/>
      </c>
      <c r="C298" s="20"/>
      <c r="D298" s="11"/>
      <c r="E298" s="9"/>
      <c r="F298" s="21" t="str">
        <f>IF(E298="","",IFERROR(INDEX(食材マスタ!$D$10:$D$309,MATCH(E298,食材マスタ!$C$10:$C$309,0)),"※コード未登録"))</f>
        <v/>
      </c>
      <c r="G298" s="16"/>
      <c r="H298" s="8" t="str">
        <f>IF(E298="","",IFERROR(INDEX(食材マスタ!$H$10:$H$309,MATCH(E298,食材マスタ!$C$10:$C$309,0)),""))</f>
        <v/>
      </c>
      <c r="I298" s="15" t="str">
        <f>IF(E298="","",IFERROR(INDEX(食材マスタ!$K$10:$K$309,MATCH(E298,食材マスタ!$C$10:$C$309,0)),""))</f>
        <v/>
      </c>
      <c r="J298" s="15" t="str">
        <f t="shared" si="20"/>
        <v/>
      </c>
      <c r="K298" s="20"/>
      <c r="L298" s="8" t="str">
        <f t="shared" si="21"/>
        <v/>
      </c>
      <c r="M298" s="9"/>
      <c r="N298" s="13" t="str">
        <f t="shared" si="22"/>
        <v/>
      </c>
      <c r="O298" s="22" t="str">
        <f t="shared" ca="1" si="23"/>
        <v/>
      </c>
      <c r="P298" s="17" t="str">
        <f t="shared" si="24"/>
        <v/>
      </c>
      <c r="Q298" s="11"/>
      <c r="R298" s="19"/>
      <c r="S298" s="19"/>
      <c r="U298">
        <f ca="1">IF(AND(ISNUMBER(O298),O298&lt;=設定!$C$4),1,0)</f>
        <v>0</v>
      </c>
      <c r="V298" t="str">
        <f ca="1">IF(U298=1,SUM($U$10:U298),"")</f>
        <v/>
      </c>
    </row>
    <row r="299" spans="2:22">
      <c r="B299" s="8" t="str">
        <f>IF(C299="","",COUNT($C$10:C299))</f>
        <v/>
      </c>
      <c r="C299" s="20"/>
      <c r="D299" s="11"/>
      <c r="E299" s="9"/>
      <c r="F299" s="21" t="str">
        <f>IF(E299="","",IFERROR(INDEX(食材マスタ!$D$10:$D$309,MATCH(E299,食材マスタ!$C$10:$C$309,0)),"※コード未登録"))</f>
        <v/>
      </c>
      <c r="G299" s="16"/>
      <c r="H299" s="8" t="str">
        <f>IF(E299="","",IFERROR(INDEX(食材マスタ!$H$10:$H$309,MATCH(E299,食材マスタ!$C$10:$C$309,0)),""))</f>
        <v/>
      </c>
      <c r="I299" s="15" t="str">
        <f>IF(E299="","",IFERROR(INDEX(食材マスタ!$K$10:$K$309,MATCH(E299,食材マスタ!$C$10:$C$309,0)),""))</f>
        <v/>
      </c>
      <c r="J299" s="15" t="str">
        <f t="shared" si="20"/>
        <v/>
      </c>
      <c r="K299" s="20"/>
      <c r="L299" s="8" t="str">
        <f t="shared" si="21"/>
        <v/>
      </c>
      <c r="M299" s="9"/>
      <c r="N299" s="13" t="str">
        <f t="shared" si="22"/>
        <v/>
      </c>
      <c r="O299" s="22" t="str">
        <f t="shared" ca="1" si="23"/>
        <v/>
      </c>
      <c r="P299" s="17" t="str">
        <f t="shared" si="24"/>
        <v/>
      </c>
      <c r="Q299" s="11"/>
      <c r="R299" s="19"/>
      <c r="S299" s="19"/>
      <c r="U299">
        <f ca="1">IF(AND(ISNUMBER(O299),O299&lt;=設定!$C$4),1,0)</f>
        <v>0</v>
      </c>
      <c r="V299" t="str">
        <f ca="1">IF(U299=1,SUM($U$10:U299),"")</f>
        <v/>
      </c>
    </row>
    <row r="300" spans="2:22">
      <c r="B300" s="8" t="str">
        <f>IF(C300="","",COUNT($C$10:C300))</f>
        <v/>
      </c>
      <c r="C300" s="20"/>
      <c r="D300" s="11"/>
      <c r="E300" s="9"/>
      <c r="F300" s="21" t="str">
        <f>IF(E300="","",IFERROR(INDEX(食材マスタ!$D$10:$D$309,MATCH(E300,食材マスタ!$C$10:$C$309,0)),"※コード未登録"))</f>
        <v/>
      </c>
      <c r="G300" s="16"/>
      <c r="H300" s="8" t="str">
        <f>IF(E300="","",IFERROR(INDEX(食材マスタ!$H$10:$H$309,MATCH(E300,食材マスタ!$C$10:$C$309,0)),""))</f>
        <v/>
      </c>
      <c r="I300" s="15" t="str">
        <f>IF(E300="","",IFERROR(INDEX(食材マスタ!$K$10:$K$309,MATCH(E300,食材マスタ!$C$10:$C$309,0)),""))</f>
        <v/>
      </c>
      <c r="J300" s="15" t="str">
        <f t="shared" si="20"/>
        <v/>
      </c>
      <c r="K300" s="20"/>
      <c r="L300" s="8" t="str">
        <f t="shared" si="21"/>
        <v/>
      </c>
      <c r="M300" s="9"/>
      <c r="N300" s="13" t="str">
        <f t="shared" si="22"/>
        <v/>
      </c>
      <c r="O300" s="22" t="str">
        <f t="shared" ca="1" si="23"/>
        <v/>
      </c>
      <c r="P300" s="17" t="str">
        <f t="shared" si="24"/>
        <v/>
      </c>
      <c r="Q300" s="11"/>
      <c r="R300" s="19"/>
      <c r="S300" s="19"/>
      <c r="U300">
        <f ca="1">IF(AND(ISNUMBER(O300),O300&lt;=設定!$C$4),1,0)</f>
        <v>0</v>
      </c>
      <c r="V300" t="str">
        <f ca="1">IF(U300=1,SUM($U$10:U300),"")</f>
        <v/>
      </c>
    </row>
    <row r="301" spans="2:22">
      <c r="B301" s="8" t="str">
        <f>IF(C301="","",COUNT($C$10:C301))</f>
        <v/>
      </c>
      <c r="C301" s="20"/>
      <c r="D301" s="11"/>
      <c r="E301" s="9"/>
      <c r="F301" s="21" t="str">
        <f>IF(E301="","",IFERROR(INDEX(食材マスタ!$D$10:$D$309,MATCH(E301,食材マスタ!$C$10:$C$309,0)),"※コード未登録"))</f>
        <v/>
      </c>
      <c r="G301" s="16"/>
      <c r="H301" s="8" t="str">
        <f>IF(E301="","",IFERROR(INDEX(食材マスタ!$H$10:$H$309,MATCH(E301,食材マスタ!$C$10:$C$309,0)),""))</f>
        <v/>
      </c>
      <c r="I301" s="15" t="str">
        <f>IF(E301="","",IFERROR(INDEX(食材マスタ!$K$10:$K$309,MATCH(E301,食材マスタ!$C$10:$C$309,0)),""))</f>
        <v/>
      </c>
      <c r="J301" s="15" t="str">
        <f t="shared" si="20"/>
        <v/>
      </c>
      <c r="K301" s="20"/>
      <c r="L301" s="8" t="str">
        <f t="shared" si="21"/>
        <v/>
      </c>
      <c r="M301" s="9"/>
      <c r="N301" s="13" t="str">
        <f t="shared" si="22"/>
        <v/>
      </c>
      <c r="O301" s="22" t="str">
        <f t="shared" ca="1" si="23"/>
        <v/>
      </c>
      <c r="P301" s="17" t="str">
        <f t="shared" si="24"/>
        <v/>
      </c>
      <c r="Q301" s="11"/>
      <c r="R301" s="19"/>
      <c r="S301" s="19"/>
      <c r="U301">
        <f ca="1">IF(AND(ISNUMBER(O301),O301&lt;=設定!$C$4),1,0)</f>
        <v>0</v>
      </c>
      <c r="V301" t="str">
        <f ca="1">IF(U301=1,SUM($U$10:U301),"")</f>
        <v/>
      </c>
    </row>
    <row r="302" spans="2:22">
      <c r="B302" s="8" t="str">
        <f>IF(C302="","",COUNT($C$10:C302))</f>
        <v/>
      </c>
      <c r="C302" s="20"/>
      <c r="D302" s="11"/>
      <c r="E302" s="9"/>
      <c r="F302" s="21" t="str">
        <f>IF(E302="","",IFERROR(INDEX(食材マスタ!$D$10:$D$309,MATCH(E302,食材マスタ!$C$10:$C$309,0)),"※コード未登録"))</f>
        <v/>
      </c>
      <c r="G302" s="16"/>
      <c r="H302" s="8" t="str">
        <f>IF(E302="","",IFERROR(INDEX(食材マスタ!$H$10:$H$309,MATCH(E302,食材マスタ!$C$10:$C$309,0)),""))</f>
        <v/>
      </c>
      <c r="I302" s="15" t="str">
        <f>IF(E302="","",IFERROR(INDEX(食材マスタ!$K$10:$K$309,MATCH(E302,食材マスタ!$C$10:$C$309,0)),""))</f>
        <v/>
      </c>
      <c r="J302" s="15" t="str">
        <f t="shared" si="20"/>
        <v/>
      </c>
      <c r="K302" s="20"/>
      <c r="L302" s="8" t="str">
        <f t="shared" si="21"/>
        <v/>
      </c>
      <c r="M302" s="9"/>
      <c r="N302" s="13" t="str">
        <f t="shared" si="22"/>
        <v/>
      </c>
      <c r="O302" s="22" t="str">
        <f t="shared" ca="1" si="23"/>
        <v/>
      </c>
      <c r="P302" s="17" t="str">
        <f t="shared" si="24"/>
        <v/>
      </c>
      <c r="Q302" s="11"/>
      <c r="R302" s="19"/>
      <c r="S302" s="19"/>
      <c r="U302">
        <f ca="1">IF(AND(ISNUMBER(O302),O302&lt;=設定!$C$4),1,0)</f>
        <v>0</v>
      </c>
      <c r="V302" t="str">
        <f ca="1">IF(U302=1,SUM($U$10:U302),"")</f>
        <v/>
      </c>
    </row>
    <row r="303" spans="2:22">
      <c r="B303" s="8" t="str">
        <f>IF(C303="","",COUNT($C$10:C303))</f>
        <v/>
      </c>
      <c r="C303" s="20"/>
      <c r="D303" s="11"/>
      <c r="E303" s="9"/>
      <c r="F303" s="21" t="str">
        <f>IF(E303="","",IFERROR(INDEX(食材マスタ!$D$10:$D$309,MATCH(E303,食材マスタ!$C$10:$C$309,0)),"※コード未登録"))</f>
        <v/>
      </c>
      <c r="G303" s="16"/>
      <c r="H303" s="8" t="str">
        <f>IF(E303="","",IFERROR(INDEX(食材マスタ!$H$10:$H$309,MATCH(E303,食材マスタ!$C$10:$C$309,0)),""))</f>
        <v/>
      </c>
      <c r="I303" s="15" t="str">
        <f>IF(E303="","",IFERROR(INDEX(食材マスタ!$K$10:$K$309,MATCH(E303,食材マスタ!$C$10:$C$309,0)),""))</f>
        <v/>
      </c>
      <c r="J303" s="15" t="str">
        <f t="shared" si="20"/>
        <v/>
      </c>
      <c r="K303" s="20"/>
      <c r="L303" s="8" t="str">
        <f t="shared" si="21"/>
        <v/>
      </c>
      <c r="M303" s="9"/>
      <c r="N303" s="13" t="str">
        <f t="shared" si="22"/>
        <v/>
      </c>
      <c r="O303" s="22" t="str">
        <f t="shared" ca="1" si="23"/>
        <v/>
      </c>
      <c r="P303" s="17" t="str">
        <f t="shared" si="24"/>
        <v/>
      </c>
      <c r="Q303" s="11"/>
      <c r="R303" s="19"/>
      <c r="S303" s="19"/>
      <c r="U303">
        <f ca="1">IF(AND(ISNUMBER(O303),O303&lt;=設定!$C$4),1,0)</f>
        <v>0</v>
      </c>
      <c r="V303" t="str">
        <f ca="1">IF(U303=1,SUM($U$10:U303),"")</f>
        <v/>
      </c>
    </row>
    <row r="304" spans="2:22">
      <c r="B304" s="8" t="str">
        <f>IF(C304="","",COUNT($C$10:C304))</f>
        <v/>
      </c>
      <c r="C304" s="20"/>
      <c r="D304" s="11"/>
      <c r="E304" s="9"/>
      <c r="F304" s="21" t="str">
        <f>IF(E304="","",IFERROR(INDEX(食材マスタ!$D$10:$D$309,MATCH(E304,食材マスタ!$C$10:$C$309,0)),"※コード未登録"))</f>
        <v/>
      </c>
      <c r="G304" s="16"/>
      <c r="H304" s="8" t="str">
        <f>IF(E304="","",IFERROR(INDEX(食材マスタ!$H$10:$H$309,MATCH(E304,食材マスタ!$C$10:$C$309,0)),""))</f>
        <v/>
      </c>
      <c r="I304" s="15" t="str">
        <f>IF(E304="","",IFERROR(INDEX(食材マスタ!$K$10:$K$309,MATCH(E304,食材マスタ!$C$10:$C$309,0)),""))</f>
        <v/>
      </c>
      <c r="J304" s="15" t="str">
        <f t="shared" si="20"/>
        <v/>
      </c>
      <c r="K304" s="20"/>
      <c r="L304" s="8" t="str">
        <f t="shared" si="21"/>
        <v/>
      </c>
      <c r="M304" s="9"/>
      <c r="N304" s="13" t="str">
        <f t="shared" si="22"/>
        <v/>
      </c>
      <c r="O304" s="22" t="str">
        <f t="shared" ca="1" si="23"/>
        <v/>
      </c>
      <c r="P304" s="17" t="str">
        <f t="shared" si="24"/>
        <v/>
      </c>
      <c r="Q304" s="11"/>
      <c r="R304" s="19"/>
      <c r="S304" s="19"/>
      <c r="U304">
        <f ca="1">IF(AND(ISNUMBER(O304),O304&lt;=設定!$C$4),1,0)</f>
        <v>0</v>
      </c>
      <c r="V304" t="str">
        <f ca="1">IF(U304=1,SUM($U$10:U304),"")</f>
        <v/>
      </c>
    </row>
    <row r="305" spans="2:22">
      <c r="B305" s="8" t="str">
        <f>IF(C305="","",COUNT($C$10:C305))</f>
        <v/>
      </c>
      <c r="C305" s="20"/>
      <c r="D305" s="11"/>
      <c r="E305" s="9"/>
      <c r="F305" s="21" t="str">
        <f>IF(E305="","",IFERROR(INDEX(食材マスタ!$D$10:$D$309,MATCH(E305,食材マスタ!$C$10:$C$309,0)),"※コード未登録"))</f>
        <v/>
      </c>
      <c r="G305" s="16"/>
      <c r="H305" s="8" t="str">
        <f>IF(E305="","",IFERROR(INDEX(食材マスタ!$H$10:$H$309,MATCH(E305,食材マスタ!$C$10:$C$309,0)),""))</f>
        <v/>
      </c>
      <c r="I305" s="15" t="str">
        <f>IF(E305="","",IFERROR(INDEX(食材マスタ!$K$10:$K$309,MATCH(E305,食材マスタ!$C$10:$C$309,0)),""))</f>
        <v/>
      </c>
      <c r="J305" s="15" t="str">
        <f t="shared" si="20"/>
        <v/>
      </c>
      <c r="K305" s="20"/>
      <c r="L305" s="8" t="str">
        <f t="shared" si="21"/>
        <v/>
      </c>
      <c r="M305" s="9"/>
      <c r="N305" s="13" t="str">
        <f t="shared" si="22"/>
        <v/>
      </c>
      <c r="O305" s="22" t="str">
        <f t="shared" ca="1" si="23"/>
        <v/>
      </c>
      <c r="P305" s="17" t="str">
        <f t="shared" si="24"/>
        <v/>
      </c>
      <c r="Q305" s="11"/>
      <c r="R305" s="19"/>
      <c r="S305" s="19"/>
      <c r="U305">
        <f ca="1">IF(AND(ISNUMBER(O305),O305&lt;=設定!$C$4),1,0)</f>
        <v>0</v>
      </c>
      <c r="V305" t="str">
        <f ca="1">IF(U305=1,SUM($U$10:U305),"")</f>
        <v/>
      </c>
    </row>
    <row r="306" spans="2:22">
      <c r="B306" s="8" t="str">
        <f>IF(C306="","",COUNT($C$10:C306))</f>
        <v/>
      </c>
      <c r="C306" s="20"/>
      <c r="D306" s="11"/>
      <c r="E306" s="9"/>
      <c r="F306" s="21" t="str">
        <f>IF(E306="","",IFERROR(INDEX(食材マスタ!$D$10:$D$309,MATCH(E306,食材マスタ!$C$10:$C$309,0)),"※コード未登録"))</f>
        <v/>
      </c>
      <c r="G306" s="16"/>
      <c r="H306" s="8" t="str">
        <f>IF(E306="","",IFERROR(INDEX(食材マスタ!$H$10:$H$309,MATCH(E306,食材マスタ!$C$10:$C$309,0)),""))</f>
        <v/>
      </c>
      <c r="I306" s="15" t="str">
        <f>IF(E306="","",IFERROR(INDEX(食材マスタ!$K$10:$K$309,MATCH(E306,食材マスタ!$C$10:$C$309,0)),""))</f>
        <v/>
      </c>
      <c r="J306" s="15" t="str">
        <f t="shared" si="20"/>
        <v/>
      </c>
      <c r="K306" s="20"/>
      <c r="L306" s="8" t="str">
        <f t="shared" si="21"/>
        <v/>
      </c>
      <c r="M306" s="9"/>
      <c r="N306" s="13" t="str">
        <f t="shared" si="22"/>
        <v/>
      </c>
      <c r="O306" s="22" t="str">
        <f t="shared" ca="1" si="23"/>
        <v/>
      </c>
      <c r="P306" s="17" t="str">
        <f t="shared" si="24"/>
        <v/>
      </c>
      <c r="Q306" s="11"/>
      <c r="R306" s="19"/>
      <c r="S306" s="19"/>
      <c r="U306">
        <f ca="1">IF(AND(ISNUMBER(O306),O306&lt;=設定!$C$4),1,0)</f>
        <v>0</v>
      </c>
      <c r="V306" t="str">
        <f ca="1">IF(U306=1,SUM($U$10:U306),"")</f>
        <v/>
      </c>
    </row>
    <row r="307" spans="2:22">
      <c r="B307" s="8" t="str">
        <f>IF(C307="","",COUNT($C$10:C307))</f>
        <v/>
      </c>
      <c r="C307" s="20"/>
      <c r="D307" s="11"/>
      <c r="E307" s="9"/>
      <c r="F307" s="21" t="str">
        <f>IF(E307="","",IFERROR(INDEX(食材マスタ!$D$10:$D$309,MATCH(E307,食材マスタ!$C$10:$C$309,0)),"※コード未登録"))</f>
        <v/>
      </c>
      <c r="G307" s="16"/>
      <c r="H307" s="8" t="str">
        <f>IF(E307="","",IFERROR(INDEX(食材マスタ!$H$10:$H$309,MATCH(E307,食材マスタ!$C$10:$C$309,0)),""))</f>
        <v/>
      </c>
      <c r="I307" s="15" t="str">
        <f>IF(E307="","",IFERROR(INDEX(食材マスタ!$K$10:$K$309,MATCH(E307,食材マスタ!$C$10:$C$309,0)),""))</f>
        <v/>
      </c>
      <c r="J307" s="15" t="str">
        <f t="shared" si="20"/>
        <v/>
      </c>
      <c r="K307" s="20"/>
      <c r="L307" s="8" t="str">
        <f t="shared" si="21"/>
        <v/>
      </c>
      <c r="M307" s="9"/>
      <c r="N307" s="13" t="str">
        <f t="shared" si="22"/>
        <v/>
      </c>
      <c r="O307" s="22" t="str">
        <f t="shared" ca="1" si="23"/>
        <v/>
      </c>
      <c r="P307" s="17" t="str">
        <f t="shared" si="24"/>
        <v/>
      </c>
      <c r="Q307" s="11"/>
      <c r="R307" s="19"/>
      <c r="S307" s="19"/>
      <c r="U307">
        <f ca="1">IF(AND(ISNUMBER(O307),O307&lt;=設定!$C$4),1,0)</f>
        <v>0</v>
      </c>
      <c r="V307" t="str">
        <f ca="1">IF(U307=1,SUM($U$10:U307),"")</f>
        <v/>
      </c>
    </row>
    <row r="308" spans="2:22">
      <c r="B308" s="8" t="str">
        <f>IF(C308="","",COUNT($C$10:C308))</f>
        <v/>
      </c>
      <c r="C308" s="20"/>
      <c r="D308" s="11"/>
      <c r="E308" s="9"/>
      <c r="F308" s="21" t="str">
        <f>IF(E308="","",IFERROR(INDEX(食材マスタ!$D$10:$D$309,MATCH(E308,食材マスタ!$C$10:$C$309,0)),"※コード未登録"))</f>
        <v/>
      </c>
      <c r="G308" s="16"/>
      <c r="H308" s="8" t="str">
        <f>IF(E308="","",IFERROR(INDEX(食材マスタ!$H$10:$H$309,MATCH(E308,食材マスタ!$C$10:$C$309,0)),""))</f>
        <v/>
      </c>
      <c r="I308" s="15" t="str">
        <f>IF(E308="","",IFERROR(INDEX(食材マスタ!$K$10:$K$309,MATCH(E308,食材マスタ!$C$10:$C$309,0)),""))</f>
        <v/>
      </c>
      <c r="J308" s="15" t="str">
        <f t="shared" si="20"/>
        <v/>
      </c>
      <c r="K308" s="20"/>
      <c r="L308" s="8" t="str">
        <f t="shared" si="21"/>
        <v/>
      </c>
      <c r="M308" s="9"/>
      <c r="N308" s="13" t="str">
        <f t="shared" si="22"/>
        <v/>
      </c>
      <c r="O308" s="22" t="str">
        <f t="shared" ca="1" si="23"/>
        <v/>
      </c>
      <c r="P308" s="17" t="str">
        <f t="shared" si="24"/>
        <v/>
      </c>
      <c r="Q308" s="11"/>
      <c r="R308" s="19"/>
      <c r="S308" s="19"/>
      <c r="U308">
        <f ca="1">IF(AND(ISNUMBER(O308),O308&lt;=設定!$C$4),1,0)</f>
        <v>0</v>
      </c>
      <c r="V308" t="str">
        <f ca="1">IF(U308=1,SUM($U$10:U308),"")</f>
        <v/>
      </c>
    </row>
    <row r="309" spans="2:22">
      <c r="B309" s="8" t="str">
        <f>IF(C309="","",COUNT($C$10:C309))</f>
        <v/>
      </c>
      <c r="C309" s="20"/>
      <c r="D309" s="11"/>
      <c r="E309" s="9"/>
      <c r="F309" s="21" t="str">
        <f>IF(E309="","",IFERROR(INDEX(食材マスタ!$D$10:$D$309,MATCH(E309,食材マスタ!$C$10:$C$309,0)),"※コード未登録"))</f>
        <v/>
      </c>
      <c r="G309" s="16"/>
      <c r="H309" s="8" t="str">
        <f>IF(E309="","",IFERROR(INDEX(食材マスタ!$H$10:$H$309,MATCH(E309,食材マスタ!$C$10:$C$309,0)),""))</f>
        <v/>
      </c>
      <c r="I309" s="15" t="str">
        <f>IF(E309="","",IFERROR(INDEX(食材マスタ!$K$10:$K$309,MATCH(E309,食材マスタ!$C$10:$C$309,0)),""))</f>
        <v/>
      </c>
      <c r="J309" s="15" t="str">
        <f t="shared" si="20"/>
        <v/>
      </c>
      <c r="K309" s="20"/>
      <c r="L309" s="8" t="str">
        <f t="shared" si="21"/>
        <v/>
      </c>
      <c r="M309" s="9"/>
      <c r="N309" s="13" t="str">
        <f t="shared" si="22"/>
        <v/>
      </c>
      <c r="O309" s="22" t="str">
        <f t="shared" ca="1" si="23"/>
        <v/>
      </c>
      <c r="P309" s="17" t="str">
        <f t="shared" si="24"/>
        <v/>
      </c>
      <c r="Q309" s="11"/>
      <c r="R309" s="19"/>
      <c r="S309" s="19"/>
      <c r="U309">
        <f ca="1">IF(AND(ISNUMBER(O309),O309&lt;=設定!$C$4),1,0)</f>
        <v>0</v>
      </c>
      <c r="V309" t="str">
        <f ca="1">IF(U309=1,SUM($U$10:U309),"")</f>
        <v/>
      </c>
    </row>
    <row r="310" spans="2:22">
      <c r="B310" s="8" t="str">
        <f>IF(C310="","",COUNT($C$10:C310))</f>
        <v/>
      </c>
      <c r="C310" s="20"/>
      <c r="D310" s="11"/>
      <c r="E310" s="9"/>
      <c r="F310" s="21" t="str">
        <f>IF(E310="","",IFERROR(INDEX(食材マスタ!$D$10:$D$309,MATCH(E310,食材マスタ!$C$10:$C$309,0)),"※コード未登録"))</f>
        <v/>
      </c>
      <c r="G310" s="16"/>
      <c r="H310" s="8" t="str">
        <f>IF(E310="","",IFERROR(INDEX(食材マスタ!$H$10:$H$309,MATCH(E310,食材マスタ!$C$10:$C$309,0)),""))</f>
        <v/>
      </c>
      <c r="I310" s="15" t="str">
        <f>IF(E310="","",IFERROR(INDEX(食材マスタ!$K$10:$K$309,MATCH(E310,食材マスタ!$C$10:$C$309,0)),""))</f>
        <v/>
      </c>
      <c r="J310" s="15" t="str">
        <f t="shared" si="20"/>
        <v/>
      </c>
      <c r="K310" s="20"/>
      <c r="L310" s="8" t="str">
        <f t="shared" si="21"/>
        <v/>
      </c>
      <c r="M310" s="9"/>
      <c r="N310" s="13" t="str">
        <f t="shared" si="22"/>
        <v/>
      </c>
      <c r="O310" s="22" t="str">
        <f t="shared" ca="1" si="23"/>
        <v/>
      </c>
      <c r="P310" s="17" t="str">
        <f t="shared" si="24"/>
        <v/>
      </c>
      <c r="Q310" s="11"/>
      <c r="R310" s="19"/>
      <c r="S310" s="19"/>
      <c r="U310">
        <f ca="1">IF(AND(ISNUMBER(O310),O310&lt;=設定!$C$4),1,0)</f>
        <v>0</v>
      </c>
      <c r="V310" t="str">
        <f ca="1">IF(U310=1,SUM($U$10:U310),"")</f>
        <v/>
      </c>
    </row>
    <row r="311" spans="2:22">
      <c r="B311" s="8" t="str">
        <f>IF(C311="","",COUNT($C$10:C311))</f>
        <v/>
      </c>
      <c r="C311" s="20"/>
      <c r="D311" s="11"/>
      <c r="E311" s="9"/>
      <c r="F311" s="21" t="str">
        <f>IF(E311="","",IFERROR(INDEX(食材マスタ!$D$10:$D$309,MATCH(E311,食材マスタ!$C$10:$C$309,0)),"※コード未登録"))</f>
        <v/>
      </c>
      <c r="G311" s="16"/>
      <c r="H311" s="8" t="str">
        <f>IF(E311="","",IFERROR(INDEX(食材マスタ!$H$10:$H$309,MATCH(E311,食材マスタ!$C$10:$C$309,0)),""))</f>
        <v/>
      </c>
      <c r="I311" s="15" t="str">
        <f>IF(E311="","",IFERROR(INDEX(食材マスタ!$K$10:$K$309,MATCH(E311,食材マスタ!$C$10:$C$309,0)),""))</f>
        <v/>
      </c>
      <c r="J311" s="15" t="str">
        <f t="shared" si="20"/>
        <v/>
      </c>
      <c r="K311" s="20"/>
      <c r="L311" s="8" t="str">
        <f t="shared" si="21"/>
        <v/>
      </c>
      <c r="M311" s="9"/>
      <c r="N311" s="13" t="str">
        <f t="shared" si="22"/>
        <v/>
      </c>
      <c r="O311" s="22" t="str">
        <f t="shared" ca="1" si="23"/>
        <v/>
      </c>
      <c r="P311" s="17" t="str">
        <f t="shared" si="24"/>
        <v/>
      </c>
      <c r="Q311" s="11"/>
      <c r="R311" s="19"/>
      <c r="S311" s="19"/>
      <c r="U311">
        <f ca="1">IF(AND(ISNUMBER(O311),O311&lt;=設定!$C$4),1,0)</f>
        <v>0</v>
      </c>
      <c r="V311" t="str">
        <f ca="1">IF(U311=1,SUM($U$10:U311),"")</f>
        <v/>
      </c>
    </row>
    <row r="312" spans="2:22">
      <c r="B312" s="8" t="str">
        <f>IF(C312="","",COUNT($C$10:C312))</f>
        <v/>
      </c>
      <c r="C312" s="20"/>
      <c r="D312" s="11"/>
      <c r="E312" s="9"/>
      <c r="F312" s="21" t="str">
        <f>IF(E312="","",IFERROR(INDEX(食材マスタ!$D$10:$D$309,MATCH(E312,食材マスタ!$C$10:$C$309,0)),"※コード未登録"))</f>
        <v/>
      </c>
      <c r="G312" s="16"/>
      <c r="H312" s="8" t="str">
        <f>IF(E312="","",IFERROR(INDEX(食材マスタ!$H$10:$H$309,MATCH(E312,食材マスタ!$C$10:$C$309,0)),""))</f>
        <v/>
      </c>
      <c r="I312" s="15" t="str">
        <f>IF(E312="","",IFERROR(INDEX(食材マスタ!$K$10:$K$309,MATCH(E312,食材マスタ!$C$10:$C$309,0)),""))</f>
        <v/>
      </c>
      <c r="J312" s="15" t="str">
        <f t="shared" si="20"/>
        <v/>
      </c>
      <c r="K312" s="20"/>
      <c r="L312" s="8" t="str">
        <f t="shared" si="21"/>
        <v/>
      </c>
      <c r="M312" s="9"/>
      <c r="N312" s="13" t="str">
        <f t="shared" si="22"/>
        <v/>
      </c>
      <c r="O312" s="22" t="str">
        <f t="shared" ca="1" si="23"/>
        <v/>
      </c>
      <c r="P312" s="17" t="str">
        <f t="shared" si="24"/>
        <v/>
      </c>
      <c r="Q312" s="11"/>
      <c r="R312" s="19"/>
      <c r="S312" s="19"/>
      <c r="U312">
        <f ca="1">IF(AND(ISNUMBER(O312),O312&lt;=設定!$C$4),1,0)</f>
        <v>0</v>
      </c>
      <c r="V312" t="str">
        <f ca="1">IF(U312=1,SUM($U$10:U312),"")</f>
        <v/>
      </c>
    </row>
    <row r="313" spans="2:22">
      <c r="B313" s="8" t="str">
        <f>IF(C313="","",COUNT($C$10:C313))</f>
        <v/>
      </c>
      <c r="C313" s="20"/>
      <c r="D313" s="11"/>
      <c r="E313" s="9"/>
      <c r="F313" s="21" t="str">
        <f>IF(E313="","",IFERROR(INDEX(食材マスタ!$D$10:$D$309,MATCH(E313,食材マスタ!$C$10:$C$309,0)),"※コード未登録"))</f>
        <v/>
      </c>
      <c r="G313" s="16"/>
      <c r="H313" s="8" t="str">
        <f>IF(E313="","",IFERROR(INDEX(食材マスタ!$H$10:$H$309,MATCH(E313,食材マスタ!$C$10:$C$309,0)),""))</f>
        <v/>
      </c>
      <c r="I313" s="15" t="str">
        <f>IF(E313="","",IFERROR(INDEX(食材マスタ!$K$10:$K$309,MATCH(E313,食材マスタ!$C$10:$C$309,0)),""))</f>
        <v/>
      </c>
      <c r="J313" s="15" t="str">
        <f t="shared" si="20"/>
        <v/>
      </c>
      <c r="K313" s="20"/>
      <c r="L313" s="8" t="str">
        <f t="shared" si="21"/>
        <v/>
      </c>
      <c r="M313" s="9"/>
      <c r="N313" s="13" t="str">
        <f t="shared" si="22"/>
        <v/>
      </c>
      <c r="O313" s="22" t="str">
        <f t="shared" ca="1" si="23"/>
        <v/>
      </c>
      <c r="P313" s="17" t="str">
        <f t="shared" si="24"/>
        <v/>
      </c>
      <c r="Q313" s="11"/>
      <c r="R313" s="19"/>
      <c r="S313" s="19"/>
      <c r="U313">
        <f ca="1">IF(AND(ISNUMBER(O313),O313&lt;=設定!$C$4),1,0)</f>
        <v>0</v>
      </c>
      <c r="V313" t="str">
        <f ca="1">IF(U313=1,SUM($U$10:U313),"")</f>
        <v/>
      </c>
    </row>
    <row r="314" spans="2:22">
      <c r="B314" s="8" t="str">
        <f>IF(C314="","",COUNT($C$10:C314))</f>
        <v/>
      </c>
      <c r="C314" s="20"/>
      <c r="D314" s="11"/>
      <c r="E314" s="9"/>
      <c r="F314" s="21" t="str">
        <f>IF(E314="","",IFERROR(INDEX(食材マスタ!$D$10:$D$309,MATCH(E314,食材マスタ!$C$10:$C$309,0)),"※コード未登録"))</f>
        <v/>
      </c>
      <c r="G314" s="16"/>
      <c r="H314" s="8" t="str">
        <f>IF(E314="","",IFERROR(INDEX(食材マスタ!$H$10:$H$309,MATCH(E314,食材マスタ!$C$10:$C$309,0)),""))</f>
        <v/>
      </c>
      <c r="I314" s="15" t="str">
        <f>IF(E314="","",IFERROR(INDEX(食材マスタ!$K$10:$K$309,MATCH(E314,食材マスタ!$C$10:$C$309,0)),""))</f>
        <v/>
      </c>
      <c r="J314" s="15" t="str">
        <f t="shared" si="20"/>
        <v/>
      </c>
      <c r="K314" s="20"/>
      <c r="L314" s="8" t="str">
        <f t="shared" si="21"/>
        <v/>
      </c>
      <c r="M314" s="9"/>
      <c r="N314" s="13" t="str">
        <f t="shared" si="22"/>
        <v/>
      </c>
      <c r="O314" s="22" t="str">
        <f t="shared" ca="1" si="23"/>
        <v/>
      </c>
      <c r="P314" s="17" t="str">
        <f t="shared" si="24"/>
        <v/>
      </c>
      <c r="Q314" s="11"/>
      <c r="R314" s="19"/>
      <c r="S314" s="19"/>
      <c r="U314">
        <f ca="1">IF(AND(ISNUMBER(O314),O314&lt;=設定!$C$4),1,0)</f>
        <v>0</v>
      </c>
      <c r="V314" t="str">
        <f ca="1">IF(U314=1,SUM($U$10:U314),"")</f>
        <v/>
      </c>
    </row>
    <row r="315" spans="2:22">
      <c r="B315" s="8" t="str">
        <f>IF(C315="","",COUNT($C$10:C315))</f>
        <v/>
      </c>
      <c r="C315" s="20"/>
      <c r="D315" s="11"/>
      <c r="E315" s="9"/>
      <c r="F315" s="21" t="str">
        <f>IF(E315="","",IFERROR(INDEX(食材マスタ!$D$10:$D$309,MATCH(E315,食材マスタ!$C$10:$C$309,0)),"※コード未登録"))</f>
        <v/>
      </c>
      <c r="G315" s="16"/>
      <c r="H315" s="8" t="str">
        <f>IF(E315="","",IFERROR(INDEX(食材マスタ!$H$10:$H$309,MATCH(E315,食材マスタ!$C$10:$C$309,0)),""))</f>
        <v/>
      </c>
      <c r="I315" s="15" t="str">
        <f>IF(E315="","",IFERROR(INDEX(食材マスタ!$K$10:$K$309,MATCH(E315,食材マスタ!$C$10:$C$309,0)),""))</f>
        <v/>
      </c>
      <c r="J315" s="15" t="str">
        <f t="shared" si="20"/>
        <v/>
      </c>
      <c r="K315" s="20"/>
      <c r="L315" s="8" t="str">
        <f t="shared" si="21"/>
        <v/>
      </c>
      <c r="M315" s="9"/>
      <c r="N315" s="13" t="str">
        <f t="shared" si="22"/>
        <v/>
      </c>
      <c r="O315" s="22" t="str">
        <f t="shared" ca="1" si="23"/>
        <v/>
      </c>
      <c r="P315" s="17" t="str">
        <f t="shared" si="24"/>
        <v/>
      </c>
      <c r="Q315" s="11"/>
      <c r="R315" s="19"/>
      <c r="S315" s="19"/>
      <c r="U315">
        <f ca="1">IF(AND(ISNUMBER(O315),O315&lt;=設定!$C$4),1,0)</f>
        <v>0</v>
      </c>
      <c r="V315" t="str">
        <f ca="1">IF(U315=1,SUM($U$10:U315),"")</f>
        <v/>
      </c>
    </row>
    <row r="316" spans="2:22">
      <c r="B316" s="8" t="str">
        <f>IF(C316="","",COUNT($C$10:C316))</f>
        <v/>
      </c>
      <c r="C316" s="20"/>
      <c r="D316" s="11"/>
      <c r="E316" s="9"/>
      <c r="F316" s="21" t="str">
        <f>IF(E316="","",IFERROR(INDEX(食材マスタ!$D$10:$D$309,MATCH(E316,食材マスタ!$C$10:$C$309,0)),"※コード未登録"))</f>
        <v/>
      </c>
      <c r="G316" s="16"/>
      <c r="H316" s="8" t="str">
        <f>IF(E316="","",IFERROR(INDEX(食材マスタ!$H$10:$H$309,MATCH(E316,食材マスタ!$C$10:$C$309,0)),""))</f>
        <v/>
      </c>
      <c r="I316" s="15" t="str">
        <f>IF(E316="","",IFERROR(INDEX(食材マスタ!$K$10:$K$309,MATCH(E316,食材マスタ!$C$10:$C$309,0)),""))</f>
        <v/>
      </c>
      <c r="J316" s="15" t="str">
        <f t="shared" si="20"/>
        <v/>
      </c>
      <c r="K316" s="20"/>
      <c r="L316" s="8" t="str">
        <f t="shared" si="21"/>
        <v/>
      </c>
      <c r="M316" s="9"/>
      <c r="N316" s="13" t="str">
        <f t="shared" si="22"/>
        <v/>
      </c>
      <c r="O316" s="22" t="str">
        <f t="shared" ca="1" si="23"/>
        <v/>
      </c>
      <c r="P316" s="17" t="str">
        <f t="shared" si="24"/>
        <v/>
      </c>
      <c r="Q316" s="11"/>
      <c r="R316" s="19"/>
      <c r="S316" s="19"/>
      <c r="U316">
        <f ca="1">IF(AND(ISNUMBER(O316),O316&lt;=設定!$C$4),1,0)</f>
        <v>0</v>
      </c>
      <c r="V316" t="str">
        <f ca="1">IF(U316=1,SUM($U$10:U316),"")</f>
        <v/>
      </c>
    </row>
    <row r="317" spans="2:22">
      <c r="B317" s="8" t="str">
        <f>IF(C317="","",COUNT($C$10:C317))</f>
        <v/>
      </c>
      <c r="C317" s="20"/>
      <c r="D317" s="11"/>
      <c r="E317" s="9"/>
      <c r="F317" s="21" t="str">
        <f>IF(E317="","",IFERROR(INDEX(食材マスタ!$D$10:$D$309,MATCH(E317,食材マスタ!$C$10:$C$309,0)),"※コード未登録"))</f>
        <v/>
      </c>
      <c r="G317" s="16"/>
      <c r="H317" s="8" t="str">
        <f>IF(E317="","",IFERROR(INDEX(食材マスタ!$H$10:$H$309,MATCH(E317,食材マスタ!$C$10:$C$309,0)),""))</f>
        <v/>
      </c>
      <c r="I317" s="15" t="str">
        <f>IF(E317="","",IFERROR(INDEX(食材マスタ!$K$10:$K$309,MATCH(E317,食材マスタ!$C$10:$C$309,0)),""))</f>
        <v/>
      </c>
      <c r="J317" s="15" t="str">
        <f t="shared" si="20"/>
        <v/>
      </c>
      <c r="K317" s="20"/>
      <c r="L317" s="8" t="str">
        <f t="shared" si="21"/>
        <v/>
      </c>
      <c r="M317" s="9"/>
      <c r="N317" s="13" t="str">
        <f t="shared" si="22"/>
        <v/>
      </c>
      <c r="O317" s="22" t="str">
        <f t="shared" ca="1" si="23"/>
        <v/>
      </c>
      <c r="P317" s="17" t="str">
        <f t="shared" si="24"/>
        <v/>
      </c>
      <c r="Q317" s="11"/>
      <c r="R317" s="19"/>
      <c r="S317" s="19"/>
      <c r="U317">
        <f ca="1">IF(AND(ISNUMBER(O317),O317&lt;=設定!$C$4),1,0)</f>
        <v>0</v>
      </c>
      <c r="V317" t="str">
        <f ca="1">IF(U317=1,SUM($U$10:U317),"")</f>
        <v/>
      </c>
    </row>
    <row r="318" spans="2:22">
      <c r="B318" s="8" t="str">
        <f>IF(C318="","",COUNT($C$10:C318))</f>
        <v/>
      </c>
      <c r="C318" s="20"/>
      <c r="D318" s="11"/>
      <c r="E318" s="9"/>
      <c r="F318" s="21" t="str">
        <f>IF(E318="","",IFERROR(INDEX(食材マスタ!$D$10:$D$309,MATCH(E318,食材マスタ!$C$10:$C$309,0)),"※コード未登録"))</f>
        <v/>
      </c>
      <c r="G318" s="16"/>
      <c r="H318" s="8" t="str">
        <f>IF(E318="","",IFERROR(INDEX(食材マスタ!$H$10:$H$309,MATCH(E318,食材マスタ!$C$10:$C$309,0)),""))</f>
        <v/>
      </c>
      <c r="I318" s="15" t="str">
        <f>IF(E318="","",IFERROR(INDEX(食材マスタ!$K$10:$K$309,MATCH(E318,食材マスタ!$C$10:$C$309,0)),""))</f>
        <v/>
      </c>
      <c r="J318" s="15" t="str">
        <f t="shared" si="20"/>
        <v/>
      </c>
      <c r="K318" s="20"/>
      <c r="L318" s="8" t="str">
        <f t="shared" si="21"/>
        <v/>
      </c>
      <c r="M318" s="9"/>
      <c r="N318" s="13" t="str">
        <f t="shared" si="22"/>
        <v/>
      </c>
      <c r="O318" s="22" t="str">
        <f t="shared" ca="1" si="23"/>
        <v/>
      </c>
      <c r="P318" s="17" t="str">
        <f t="shared" si="24"/>
        <v/>
      </c>
      <c r="Q318" s="11"/>
      <c r="R318" s="19"/>
      <c r="S318" s="19"/>
      <c r="U318">
        <f ca="1">IF(AND(ISNUMBER(O318),O318&lt;=設定!$C$4),1,0)</f>
        <v>0</v>
      </c>
      <c r="V318" t="str">
        <f ca="1">IF(U318=1,SUM($U$10:U318),"")</f>
        <v/>
      </c>
    </row>
    <row r="319" spans="2:22">
      <c r="B319" s="8" t="str">
        <f>IF(C319="","",COUNT($C$10:C319))</f>
        <v/>
      </c>
      <c r="C319" s="20"/>
      <c r="D319" s="11"/>
      <c r="E319" s="9"/>
      <c r="F319" s="21" t="str">
        <f>IF(E319="","",IFERROR(INDEX(食材マスタ!$D$10:$D$309,MATCH(E319,食材マスタ!$C$10:$C$309,0)),"※コード未登録"))</f>
        <v/>
      </c>
      <c r="G319" s="16"/>
      <c r="H319" s="8" t="str">
        <f>IF(E319="","",IFERROR(INDEX(食材マスタ!$H$10:$H$309,MATCH(E319,食材マスタ!$C$10:$C$309,0)),""))</f>
        <v/>
      </c>
      <c r="I319" s="15" t="str">
        <f>IF(E319="","",IFERROR(INDEX(食材マスタ!$K$10:$K$309,MATCH(E319,食材マスタ!$C$10:$C$309,0)),""))</f>
        <v/>
      </c>
      <c r="J319" s="15" t="str">
        <f t="shared" si="20"/>
        <v/>
      </c>
      <c r="K319" s="20"/>
      <c r="L319" s="8" t="str">
        <f t="shared" si="21"/>
        <v/>
      </c>
      <c r="M319" s="9"/>
      <c r="N319" s="13" t="str">
        <f t="shared" si="22"/>
        <v/>
      </c>
      <c r="O319" s="22" t="str">
        <f t="shared" ca="1" si="23"/>
        <v/>
      </c>
      <c r="P319" s="17" t="str">
        <f t="shared" si="24"/>
        <v/>
      </c>
      <c r="Q319" s="11"/>
      <c r="R319" s="19"/>
      <c r="S319" s="19"/>
      <c r="U319">
        <f ca="1">IF(AND(ISNUMBER(O319),O319&lt;=設定!$C$4),1,0)</f>
        <v>0</v>
      </c>
      <c r="V319" t="str">
        <f ca="1">IF(U319=1,SUM($U$10:U319),"")</f>
        <v/>
      </c>
    </row>
    <row r="320" spans="2:22">
      <c r="B320" s="8" t="str">
        <f>IF(C320="","",COUNT($C$10:C320))</f>
        <v/>
      </c>
      <c r="C320" s="20"/>
      <c r="D320" s="11"/>
      <c r="E320" s="9"/>
      <c r="F320" s="21" t="str">
        <f>IF(E320="","",IFERROR(INDEX(食材マスタ!$D$10:$D$309,MATCH(E320,食材マスタ!$C$10:$C$309,0)),"※コード未登録"))</f>
        <v/>
      </c>
      <c r="G320" s="16"/>
      <c r="H320" s="8" t="str">
        <f>IF(E320="","",IFERROR(INDEX(食材マスタ!$H$10:$H$309,MATCH(E320,食材マスタ!$C$10:$C$309,0)),""))</f>
        <v/>
      </c>
      <c r="I320" s="15" t="str">
        <f>IF(E320="","",IFERROR(INDEX(食材マスタ!$K$10:$K$309,MATCH(E320,食材マスタ!$C$10:$C$309,0)),""))</f>
        <v/>
      </c>
      <c r="J320" s="15" t="str">
        <f t="shared" si="20"/>
        <v/>
      </c>
      <c r="K320" s="20"/>
      <c r="L320" s="8" t="str">
        <f t="shared" si="21"/>
        <v/>
      </c>
      <c r="M320" s="9"/>
      <c r="N320" s="13" t="str">
        <f t="shared" si="22"/>
        <v/>
      </c>
      <c r="O320" s="22" t="str">
        <f t="shared" ca="1" si="23"/>
        <v/>
      </c>
      <c r="P320" s="17" t="str">
        <f t="shared" si="24"/>
        <v/>
      </c>
      <c r="Q320" s="11"/>
      <c r="R320" s="19"/>
      <c r="S320" s="19"/>
      <c r="U320">
        <f ca="1">IF(AND(ISNUMBER(O320),O320&lt;=設定!$C$4),1,0)</f>
        <v>0</v>
      </c>
      <c r="V320" t="str">
        <f ca="1">IF(U320=1,SUM($U$10:U320),"")</f>
        <v/>
      </c>
    </row>
    <row r="321" spans="2:22">
      <c r="B321" s="8" t="str">
        <f>IF(C321="","",COUNT($C$10:C321))</f>
        <v/>
      </c>
      <c r="C321" s="20"/>
      <c r="D321" s="11"/>
      <c r="E321" s="9"/>
      <c r="F321" s="21" t="str">
        <f>IF(E321="","",IFERROR(INDEX(食材マスタ!$D$10:$D$309,MATCH(E321,食材マスタ!$C$10:$C$309,0)),"※コード未登録"))</f>
        <v/>
      </c>
      <c r="G321" s="16"/>
      <c r="H321" s="8" t="str">
        <f>IF(E321="","",IFERROR(INDEX(食材マスタ!$H$10:$H$309,MATCH(E321,食材マスタ!$C$10:$C$309,0)),""))</f>
        <v/>
      </c>
      <c r="I321" s="15" t="str">
        <f>IF(E321="","",IFERROR(INDEX(食材マスタ!$K$10:$K$309,MATCH(E321,食材マスタ!$C$10:$C$309,0)),""))</f>
        <v/>
      </c>
      <c r="J321" s="15" t="str">
        <f t="shared" si="20"/>
        <v/>
      </c>
      <c r="K321" s="20"/>
      <c r="L321" s="8" t="str">
        <f t="shared" si="21"/>
        <v/>
      </c>
      <c r="M321" s="9"/>
      <c r="N321" s="13" t="str">
        <f t="shared" si="22"/>
        <v/>
      </c>
      <c r="O321" s="22" t="str">
        <f t="shared" ca="1" si="23"/>
        <v/>
      </c>
      <c r="P321" s="17" t="str">
        <f t="shared" si="24"/>
        <v/>
      </c>
      <c r="Q321" s="11"/>
      <c r="R321" s="19"/>
      <c r="S321" s="19"/>
      <c r="U321">
        <f ca="1">IF(AND(ISNUMBER(O321),O321&lt;=設定!$C$4),1,0)</f>
        <v>0</v>
      </c>
      <c r="V321" t="str">
        <f ca="1">IF(U321=1,SUM($U$10:U321),"")</f>
        <v/>
      </c>
    </row>
    <row r="322" spans="2:22">
      <c r="B322" s="8" t="str">
        <f>IF(C322="","",COUNT($C$10:C322))</f>
        <v/>
      </c>
      <c r="C322" s="20"/>
      <c r="D322" s="11"/>
      <c r="E322" s="9"/>
      <c r="F322" s="21" t="str">
        <f>IF(E322="","",IFERROR(INDEX(食材マスタ!$D$10:$D$309,MATCH(E322,食材マスタ!$C$10:$C$309,0)),"※コード未登録"))</f>
        <v/>
      </c>
      <c r="G322" s="16"/>
      <c r="H322" s="8" t="str">
        <f>IF(E322="","",IFERROR(INDEX(食材マスタ!$H$10:$H$309,MATCH(E322,食材マスタ!$C$10:$C$309,0)),""))</f>
        <v/>
      </c>
      <c r="I322" s="15" t="str">
        <f>IF(E322="","",IFERROR(INDEX(食材マスタ!$K$10:$K$309,MATCH(E322,食材マスタ!$C$10:$C$309,0)),""))</f>
        <v/>
      </c>
      <c r="J322" s="15" t="str">
        <f t="shared" si="20"/>
        <v/>
      </c>
      <c r="K322" s="20"/>
      <c r="L322" s="8" t="str">
        <f t="shared" si="21"/>
        <v/>
      </c>
      <c r="M322" s="9"/>
      <c r="N322" s="13" t="str">
        <f t="shared" si="22"/>
        <v/>
      </c>
      <c r="O322" s="22" t="str">
        <f t="shared" ca="1" si="23"/>
        <v/>
      </c>
      <c r="P322" s="17" t="str">
        <f t="shared" si="24"/>
        <v/>
      </c>
      <c r="Q322" s="11"/>
      <c r="R322" s="19"/>
      <c r="S322" s="19"/>
      <c r="U322">
        <f ca="1">IF(AND(ISNUMBER(O322),O322&lt;=設定!$C$4),1,0)</f>
        <v>0</v>
      </c>
      <c r="V322" t="str">
        <f ca="1">IF(U322=1,SUM($U$10:U322),"")</f>
        <v/>
      </c>
    </row>
    <row r="323" spans="2:22">
      <c r="B323" s="8" t="str">
        <f>IF(C323="","",COUNT($C$10:C323))</f>
        <v/>
      </c>
      <c r="C323" s="20"/>
      <c r="D323" s="11"/>
      <c r="E323" s="9"/>
      <c r="F323" s="21" t="str">
        <f>IF(E323="","",IFERROR(INDEX(食材マスタ!$D$10:$D$309,MATCH(E323,食材マスタ!$C$10:$C$309,0)),"※コード未登録"))</f>
        <v/>
      </c>
      <c r="G323" s="16"/>
      <c r="H323" s="8" t="str">
        <f>IF(E323="","",IFERROR(INDEX(食材マスタ!$H$10:$H$309,MATCH(E323,食材マスタ!$C$10:$C$309,0)),""))</f>
        <v/>
      </c>
      <c r="I323" s="15" t="str">
        <f>IF(E323="","",IFERROR(INDEX(食材マスタ!$K$10:$K$309,MATCH(E323,食材マスタ!$C$10:$C$309,0)),""))</f>
        <v/>
      </c>
      <c r="J323" s="15" t="str">
        <f t="shared" si="20"/>
        <v/>
      </c>
      <c r="K323" s="20"/>
      <c r="L323" s="8" t="str">
        <f t="shared" si="21"/>
        <v/>
      </c>
      <c r="M323" s="9"/>
      <c r="N323" s="13" t="str">
        <f t="shared" si="22"/>
        <v/>
      </c>
      <c r="O323" s="22" t="str">
        <f t="shared" ca="1" si="23"/>
        <v/>
      </c>
      <c r="P323" s="17" t="str">
        <f t="shared" si="24"/>
        <v/>
      </c>
      <c r="Q323" s="11"/>
      <c r="R323" s="19"/>
      <c r="S323" s="19"/>
      <c r="U323">
        <f ca="1">IF(AND(ISNUMBER(O323),O323&lt;=設定!$C$4),1,0)</f>
        <v>0</v>
      </c>
      <c r="V323" t="str">
        <f ca="1">IF(U323=1,SUM($U$10:U323),"")</f>
        <v/>
      </c>
    </row>
    <row r="324" spans="2:22">
      <c r="B324" s="8" t="str">
        <f>IF(C324="","",COUNT($C$10:C324))</f>
        <v/>
      </c>
      <c r="C324" s="20"/>
      <c r="D324" s="11"/>
      <c r="E324" s="9"/>
      <c r="F324" s="21" t="str">
        <f>IF(E324="","",IFERROR(INDEX(食材マスタ!$D$10:$D$309,MATCH(E324,食材マスタ!$C$10:$C$309,0)),"※コード未登録"))</f>
        <v/>
      </c>
      <c r="G324" s="16"/>
      <c r="H324" s="8" t="str">
        <f>IF(E324="","",IFERROR(INDEX(食材マスタ!$H$10:$H$309,MATCH(E324,食材マスタ!$C$10:$C$309,0)),""))</f>
        <v/>
      </c>
      <c r="I324" s="15" t="str">
        <f>IF(E324="","",IFERROR(INDEX(食材マスタ!$K$10:$K$309,MATCH(E324,食材マスタ!$C$10:$C$309,0)),""))</f>
        <v/>
      </c>
      <c r="J324" s="15" t="str">
        <f t="shared" si="20"/>
        <v/>
      </c>
      <c r="K324" s="20"/>
      <c r="L324" s="8" t="str">
        <f t="shared" si="21"/>
        <v/>
      </c>
      <c r="M324" s="9"/>
      <c r="N324" s="13" t="str">
        <f t="shared" si="22"/>
        <v/>
      </c>
      <c r="O324" s="22" t="str">
        <f t="shared" ca="1" si="23"/>
        <v/>
      </c>
      <c r="P324" s="17" t="str">
        <f t="shared" si="24"/>
        <v/>
      </c>
      <c r="Q324" s="11"/>
      <c r="R324" s="19"/>
      <c r="S324" s="19"/>
      <c r="U324">
        <f ca="1">IF(AND(ISNUMBER(O324),O324&lt;=設定!$C$4),1,0)</f>
        <v>0</v>
      </c>
      <c r="V324" t="str">
        <f ca="1">IF(U324=1,SUM($U$10:U324),"")</f>
        <v/>
      </c>
    </row>
    <row r="325" spans="2:22">
      <c r="B325" s="8" t="str">
        <f>IF(C325="","",COUNT($C$10:C325))</f>
        <v/>
      </c>
      <c r="C325" s="20"/>
      <c r="D325" s="11"/>
      <c r="E325" s="9"/>
      <c r="F325" s="21" t="str">
        <f>IF(E325="","",IFERROR(INDEX(食材マスタ!$D$10:$D$309,MATCH(E325,食材マスタ!$C$10:$C$309,0)),"※コード未登録"))</f>
        <v/>
      </c>
      <c r="G325" s="16"/>
      <c r="H325" s="8" t="str">
        <f>IF(E325="","",IFERROR(INDEX(食材マスタ!$H$10:$H$309,MATCH(E325,食材マスタ!$C$10:$C$309,0)),""))</f>
        <v/>
      </c>
      <c r="I325" s="15" t="str">
        <f>IF(E325="","",IFERROR(INDEX(食材マスタ!$K$10:$K$309,MATCH(E325,食材マスタ!$C$10:$C$309,0)),""))</f>
        <v/>
      </c>
      <c r="J325" s="15" t="str">
        <f t="shared" si="20"/>
        <v/>
      </c>
      <c r="K325" s="20"/>
      <c r="L325" s="8" t="str">
        <f t="shared" si="21"/>
        <v/>
      </c>
      <c r="M325" s="9"/>
      <c r="N325" s="13" t="str">
        <f t="shared" si="22"/>
        <v/>
      </c>
      <c r="O325" s="22" t="str">
        <f t="shared" ca="1" si="23"/>
        <v/>
      </c>
      <c r="P325" s="17" t="str">
        <f t="shared" si="24"/>
        <v/>
      </c>
      <c r="Q325" s="11"/>
      <c r="R325" s="19"/>
      <c r="S325" s="19"/>
      <c r="U325">
        <f ca="1">IF(AND(ISNUMBER(O325),O325&lt;=設定!$C$4),1,0)</f>
        <v>0</v>
      </c>
      <c r="V325" t="str">
        <f ca="1">IF(U325=1,SUM($U$10:U325),"")</f>
        <v/>
      </c>
    </row>
    <row r="326" spans="2:22">
      <c r="B326" s="8" t="str">
        <f>IF(C326="","",COUNT($C$10:C326))</f>
        <v/>
      </c>
      <c r="C326" s="20"/>
      <c r="D326" s="11"/>
      <c r="E326" s="9"/>
      <c r="F326" s="21" t="str">
        <f>IF(E326="","",IFERROR(INDEX(食材マスタ!$D$10:$D$309,MATCH(E326,食材マスタ!$C$10:$C$309,0)),"※コード未登録"))</f>
        <v/>
      </c>
      <c r="G326" s="16"/>
      <c r="H326" s="8" t="str">
        <f>IF(E326="","",IFERROR(INDEX(食材マスタ!$H$10:$H$309,MATCH(E326,食材マスタ!$C$10:$C$309,0)),""))</f>
        <v/>
      </c>
      <c r="I326" s="15" t="str">
        <f>IF(E326="","",IFERROR(INDEX(食材マスタ!$K$10:$K$309,MATCH(E326,食材マスタ!$C$10:$C$309,0)),""))</f>
        <v/>
      </c>
      <c r="J326" s="15" t="str">
        <f t="shared" si="20"/>
        <v/>
      </c>
      <c r="K326" s="20"/>
      <c r="L326" s="8" t="str">
        <f t="shared" si="21"/>
        <v/>
      </c>
      <c r="M326" s="9"/>
      <c r="N326" s="13" t="str">
        <f t="shared" si="22"/>
        <v/>
      </c>
      <c r="O326" s="22" t="str">
        <f t="shared" ca="1" si="23"/>
        <v/>
      </c>
      <c r="P326" s="17" t="str">
        <f t="shared" si="24"/>
        <v/>
      </c>
      <c r="Q326" s="11"/>
      <c r="R326" s="19"/>
      <c r="S326" s="19"/>
      <c r="U326">
        <f ca="1">IF(AND(ISNUMBER(O326),O326&lt;=設定!$C$4),1,0)</f>
        <v>0</v>
      </c>
      <c r="V326" t="str">
        <f ca="1">IF(U326=1,SUM($U$10:U326),"")</f>
        <v/>
      </c>
    </row>
    <row r="327" spans="2:22">
      <c r="B327" s="8" t="str">
        <f>IF(C327="","",COUNT($C$10:C327))</f>
        <v/>
      </c>
      <c r="C327" s="20"/>
      <c r="D327" s="11"/>
      <c r="E327" s="9"/>
      <c r="F327" s="21" t="str">
        <f>IF(E327="","",IFERROR(INDEX(食材マスタ!$D$10:$D$309,MATCH(E327,食材マスタ!$C$10:$C$309,0)),"※コード未登録"))</f>
        <v/>
      </c>
      <c r="G327" s="16"/>
      <c r="H327" s="8" t="str">
        <f>IF(E327="","",IFERROR(INDEX(食材マスタ!$H$10:$H$309,MATCH(E327,食材マスタ!$C$10:$C$309,0)),""))</f>
        <v/>
      </c>
      <c r="I327" s="15" t="str">
        <f>IF(E327="","",IFERROR(INDEX(食材マスタ!$K$10:$K$309,MATCH(E327,食材マスタ!$C$10:$C$309,0)),""))</f>
        <v/>
      </c>
      <c r="J327" s="15" t="str">
        <f t="shared" si="20"/>
        <v/>
      </c>
      <c r="K327" s="20"/>
      <c r="L327" s="8" t="str">
        <f t="shared" si="21"/>
        <v/>
      </c>
      <c r="M327" s="9"/>
      <c r="N327" s="13" t="str">
        <f t="shared" si="22"/>
        <v/>
      </c>
      <c r="O327" s="22" t="str">
        <f t="shared" ca="1" si="23"/>
        <v/>
      </c>
      <c r="P327" s="17" t="str">
        <f t="shared" si="24"/>
        <v/>
      </c>
      <c r="Q327" s="11"/>
      <c r="R327" s="19"/>
      <c r="S327" s="19"/>
      <c r="U327">
        <f ca="1">IF(AND(ISNUMBER(O327),O327&lt;=設定!$C$4),1,0)</f>
        <v>0</v>
      </c>
      <c r="V327" t="str">
        <f ca="1">IF(U327=1,SUM($U$10:U327),"")</f>
        <v/>
      </c>
    </row>
    <row r="328" spans="2:22">
      <c r="B328" s="8" t="str">
        <f>IF(C328="","",COUNT($C$10:C328))</f>
        <v/>
      </c>
      <c r="C328" s="20"/>
      <c r="D328" s="11"/>
      <c r="E328" s="9"/>
      <c r="F328" s="21" t="str">
        <f>IF(E328="","",IFERROR(INDEX(食材マスタ!$D$10:$D$309,MATCH(E328,食材マスタ!$C$10:$C$309,0)),"※コード未登録"))</f>
        <v/>
      </c>
      <c r="G328" s="16"/>
      <c r="H328" s="8" t="str">
        <f>IF(E328="","",IFERROR(INDEX(食材マスタ!$H$10:$H$309,MATCH(E328,食材マスタ!$C$10:$C$309,0)),""))</f>
        <v/>
      </c>
      <c r="I328" s="15" t="str">
        <f>IF(E328="","",IFERROR(INDEX(食材マスタ!$K$10:$K$309,MATCH(E328,食材マスタ!$C$10:$C$309,0)),""))</f>
        <v/>
      </c>
      <c r="J328" s="15" t="str">
        <f t="shared" si="20"/>
        <v/>
      </c>
      <c r="K328" s="20"/>
      <c r="L328" s="8" t="str">
        <f t="shared" si="21"/>
        <v/>
      </c>
      <c r="M328" s="9"/>
      <c r="N328" s="13" t="str">
        <f t="shared" si="22"/>
        <v/>
      </c>
      <c r="O328" s="22" t="str">
        <f t="shared" ca="1" si="23"/>
        <v/>
      </c>
      <c r="P328" s="17" t="str">
        <f t="shared" si="24"/>
        <v/>
      </c>
      <c r="Q328" s="11"/>
      <c r="R328" s="19"/>
      <c r="S328" s="19"/>
      <c r="U328">
        <f ca="1">IF(AND(ISNUMBER(O328),O328&lt;=設定!$C$4),1,0)</f>
        <v>0</v>
      </c>
      <c r="V328" t="str">
        <f ca="1">IF(U328=1,SUM($U$10:U328),"")</f>
        <v/>
      </c>
    </row>
    <row r="329" spans="2:22">
      <c r="B329" s="8" t="str">
        <f>IF(C329="","",COUNT($C$10:C329))</f>
        <v/>
      </c>
      <c r="C329" s="20"/>
      <c r="D329" s="11"/>
      <c r="E329" s="9"/>
      <c r="F329" s="21" t="str">
        <f>IF(E329="","",IFERROR(INDEX(食材マスタ!$D$10:$D$309,MATCH(E329,食材マスタ!$C$10:$C$309,0)),"※コード未登録"))</f>
        <v/>
      </c>
      <c r="G329" s="16"/>
      <c r="H329" s="8" t="str">
        <f>IF(E329="","",IFERROR(INDEX(食材マスタ!$H$10:$H$309,MATCH(E329,食材マスタ!$C$10:$C$309,0)),""))</f>
        <v/>
      </c>
      <c r="I329" s="15" t="str">
        <f>IF(E329="","",IFERROR(INDEX(食材マスタ!$K$10:$K$309,MATCH(E329,食材マスタ!$C$10:$C$309,0)),""))</f>
        <v/>
      </c>
      <c r="J329" s="15" t="str">
        <f t="shared" si="20"/>
        <v/>
      </c>
      <c r="K329" s="20"/>
      <c r="L329" s="8" t="str">
        <f t="shared" si="21"/>
        <v/>
      </c>
      <c r="M329" s="9"/>
      <c r="N329" s="13" t="str">
        <f t="shared" si="22"/>
        <v/>
      </c>
      <c r="O329" s="22" t="str">
        <f t="shared" ca="1" si="23"/>
        <v/>
      </c>
      <c r="P329" s="17" t="str">
        <f t="shared" si="24"/>
        <v/>
      </c>
      <c r="Q329" s="11"/>
      <c r="R329" s="19"/>
      <c r="S329" s="19"/>
      <c r="U329">
        <f ca="1">IF(AND(ISNUMBER(O329),O329&lt;=設定!$C$4),1,0)</f>
        <v>0</v>
      </c>
      <c r="V329" t="str">
        <f ca="1">IF(U329=1,SUM($U$10:U329),"")</f>
        <v/>
      </c>
    </row>
    <row r="330" spans="2:22">
      <c r="B330" s="8" t="str">
        <f>IF(C330="","",COUNT($C$10:C330))</f>
        <v/>
      </c>
      <c r="C330" s="20"/>
      <c r="D330" s="11"/>
      <c r="E330" s="9"/>
      <c r="F330" s="21" t="str">
        <f>IF(E330="","",IFERROR(INDEX(食材マスタ!$D$10:$D$309,MATCH(E330,食材マスタ!$C$10:$C$309,0)),"※コード未登録"))</f>
        <v/>
      </c>
      <c r="G330" s="16"/>
      <c r="H330" s="8" t="str">
        <f>IF(E330="","",IFERROR(INDEX(食材マスタ!$H$10:$H$309,MATCH(E330,食材マスタ!$C$10:$C$309,0)),""))</f>
        <v/>
      </c>
      <c r="I330" s="15" t="str">
        <f>IF(E330="","",IFERROR(INDEX(食材マスタ!$K$10:$K$309,MATCH(E330,食材マスタ!$C$10:$C$309,0)),""))</f>
        <v/>
      </c>
      <c r="J330" s="15" t="str">
        <f t="shared" ref="J330:J393" si="25">IF(OR(G330="",I330=""),"",ROUND(ABS(G330)*I330,0))</f>
        <v/>
      </c>
      <c r="K330" s="20"/>
      <c r="L330" s="8" t="str">
        <f t="shared" ref="L330:L393" si="26">IF(AND(D330="入庫",E330&lt;&gt;""),E330&amp;"-"&amp;TEXT(ROW()-9,"0000"),"")</f>
        <v/>
      </c>
      <c r="M330" s="9"/>
      <c r="N330" s="13" t="str">
        <f t="shared" ref="N330:N393" si="27">IF(L330="","",G330-SUMIFS($G$10:$G$1009,$M$10:$M$1009,L330,$D$10:$D$1009,"出庫")-SUMIFS($G$10:$G$1009,$M$10:$M$1009,L330,$D$10:$D$1009,"廃棄")+SUMIFS($G$10:$G$1009,$M$10:$M$1009,L330,$D$10:$D$1009,"棚卸調整"))</f>
        <v/>
      </c>
      <c r="O330" s="22" t="str">
        <f t="shared" ref="O330:O393" ca="1" si="28">IF(OR(L330="",K330=""),"",IF(N330&lt;=0,"",K330-TODAY()))</f>
        <v/>
      </c>
      <c r="P330" s="17" t="str">
        <f t="shared" ref="P330:P393" si="29">IF(E330="","",IF(F330="※コード未登録","コード未登録",IF(AND(OR(D330="出庫",D330="廃棄"),M330=""),"ロット未指定",IF(AND(M330&lt;&gt;"",LEFT(M330,LEN(E330)+1)&lt;&gt;E330&amp;"-"),"ロット違い",IF(AND(L330&lt;&gt;"",N330&lt;0),"ロット残マイナス","")))))</f>
        <v/>
      </c>
      <c r="Q330" s="11"/>
      <c r="R330" s="19"/>
      <c r="S330" s="19"/>
      <c r="U330">
        <f ca="1">IF(AND(ISNUMBER(O330),O330&lt;=設定!$C$4),1,0)</f>
        <v>0</v>
      </c>
      <c r="V330" t="str">
        <f ca="1">IF(U330=1,SUM($U$10:U330),"")</f>
        <v/>
      </c>
    </row>
    <row r="331" spans="2:22">
      <c r="B331" s="8" t="str">
        <f>IF(C331="","",COUNT($C$10:C331))</f>
        <v/>
      </c>
      <c r="C331" s="20"/>
      <c r="D331" s="11"/>
      <c r="E331" s="9"/>
      <c r="F331" s="21" t="str">
        <f>IF(E331="","",IFERROR(INDEX(食材マスタ!$D$10:$D$309,MATCH(E331,食材マスタ!$C$10:$C$309,0)),"※コード未登録"))</f>
        <v/>
      </c>
      <c r="G331" s="16"/>
      <c r="H331" s="8" t="str">
        <f>IF(E331="","",IFERROR(INDEX(食材マスタ!$H$10:$H$309,MATCH(E331,食材マスタ!$C$10:$C$309,0)),""))</f>
        <v/>
      </c>
      <c r="I331" s="15" t="str">
        <f>IF(E331="","",IFERROR(INDEX(食材マスタ!$K$10:$K$309,MATCH(E331,食材マスタ!$C$10:$C$309,0)),""))</f>
        <v/>
      </c>
      <c r="J331" s="15" t="str">
        <f t="shared" si="25"/>
        <v/>
      </c>
      <c r="K331" s="20"/>
      <c r="L331" s="8" t="str">
        <f t="shared" si="26"/>
        <v/>
      </c>
      <c r="M331" s="9"/>
      <c r="N331" s="13" t="str">
        <f t="shared" si="27"/>
        <v/>
      </c>
      <c r="O331" s="22" t="str">
        <f t="shared" ca="1" si="28"/>
        <v/>
      </c>
      <c r="P331" s="17" t="str">
        <f t="shared" si="29"/>
        <v/>
      </c>
      <c r="Q331" s="11"/>
      <c r="R331" s="19"/>
      <c r="S331" s="19"/>
      <c r="U331">
        <f ca="1">IF(AND(ISNUMBER(O331),O331&lt;=設定!$C$4),1,0)</f>
        <v>0</v>
      </c>
      <c r="V331" t="str">
        <f ca="1">IF(U331=1,SUM($U$10:U331),"")</f>
        <v/>
      </c>
    </row>
    <row r="332" spans="2:22">
      <c r="B332" s="8" t="str">
        <f>IF(C332="","",COUNT($C$10:C332))</f>
        <v/>
      </c>
      <c r="C332" s="20"/>
      <c r="D332" s="11"/>
      <c r="E332" s="9"/>
      <c r="F332" s="21" t="str">
        <f>IF(E332="","",IFERROR(INDEX(食材マスタ!$D$10:$D$309,MATCH(E332,食材マスタ!$C$10:$C$309,0)),"※コード未登録"))</f>
        <v/>
      </c>
      <c r="G332" s="16"/>
      <c r="H332" s="8" t="str">
        <f>IF(E332="","",IFERROR(INDEX(食材マスタ!$H$10:$H$309,MATCH(E332,食材マスタ!$C$10:$C$309,0)),""))</f>
        <v/>
      </c>
      <c r="I332" s="15" t="str">
        <f>IF(E332="","",IFERROR(INDEX(食材マスタ!$K$10:$K$309,MATCH(E332,食材マスタ!$C$10:$C$309,0)),""))</f>
        <v/>
      </c>
      <c r="J332" s="15" t="str">
        <f t="shared" si="25"/>
        <v/>
      </c>
      <c r="K332" s="20"/>
      <c r="L332" s="8" t="str">
        <f t="shared" si="26"/>
        <v/>
      </c>
      <c r="M332" s="9"/>
      <c r="N332" s="13" t="str">
        <f t="shared" si="27"/>
        <v/>
      </c>
      <c r="O332" s="22" t="str">
        <f t="shared" ca="1" si="28"/>
        <v/>
      </c>
      <c r="P332" s="17" t="str">
        <f t="shared" si="29"/>
        <v/>
      </c>
      <c r="Q332" s="11"/>
      <c r="R332" s="19"/>
      <c r="S332" s="19"/>
      <c r="U332">
        <f ca="1">IF(AND(ISNUMBER(O332),O332&lt;=設定!$C$4),1,0)</f>
        <v>0</v>
      </c>
      <c r="V332" t="str">
        <f ca="1">IF(U332=1,SUM($U$10:U332),"")</f>
        <v/>
      </c>
    </row>
    <row r="333" spans="2:22">
      <c r="B333" s="8" t="str">
        <f>IF(C333="","",COUNT($C$10:C333))</f>
        <v/>
      </c>
      <c r="C333" s="20"/>
      <c r="D333" s="11"/>
      <c r="E333" s="9"/>
      <c r="F333" s="21" t="str">
        <f>IF(E333="","",IFERROR(INDEX(食材マスタ!$D$10:$D$309,MATCH(E333,食材マスタ!$C$10:$C$309,0)),"※コード未登録"))</f>
        <v/>
      </c>
      <c r="G333" s="16"/>
      <c r="H333" s="8" t="str">
        <f>IF(E333="","",IFERROR(INDEX(食材マスタ!$H$10:$H$309,MATCH(E333,食材マスタ!$C$10:$C$309,0)),""))</f>
        <v/>
      </c>
      <c r="I333" s="15" t="str">
        <f>IF(E333="","",IFERROR(INDEX(食材マスタ!$K$10:$K$309,MATCH(E333,食材マスタ!$C$10:$C$309,0)),""))</f>
        <v/>
      </c>
      <c r="J333" s="15" t="str">
        <f t="shared" si="25"/>
        <v/>
      </c>
      <c r="K333" s="20"/>
      <c r="L333" s="8" t="str">
        <f t="shared" si="26"/>
        <v/>
      </c>
      <c r="M333" s="9"/>
      <c r="N333" s="13" t="str">
        <f t="shared" si="27"/>
        <v/>
      </c>
      <c r="O333" s="22" t="str">
        <f t="shared" ca="1" si="28"/>
        <v/>
      </c>
      <c r="P333" s="17" t="str">
        <f t="shared" si="29"/>
        <v/>
      </c>
      <c r="Q333" s="11"/>
      <c r="R333" s="19"/>
      <c r="S333" s="19"/>
      <c r="U333">
        <f ca="1">IF(AND(ISNUMBER(O333),O333&lt;=設定!$C$4),1,0)</f>
        <v>0</v>
      </c>
      <c r="V333" t="str">
        <f ca="1">IF(U333=1,SUM($U$10:U333),"")</f>
        <v/>
      </c>
    </row>
    <row r="334" spans="2:22">
      <c r="B334" s="8" t="str">
        <f>IF(C334="","",COUNT($C$10:C334))</f>
        <v/>
      </c>
      <c r="C334" s="20"/>
      <c r="D334" s="11"/>
      <c r="E334" s="9"/>
      <c r="F334" s="21" t="str">
        <f>IF(E334="","",IFERROR(INDEX(食材マスタ!$D$10:$D$309,MATCH(E334,食材マスタ!$C$10:$C$309,0)),"※コード未登録"))</f>
        <v/>
      </c>
      <c r="G334" s="16"/>
      <c r="H334" s="8" t="str">
        <f>IF(E334="","",IFERROR(INDEX(食材マスタ!$H$10:$H$309,MATCH(E334,食材マスタ!$C$10:$C$309,0)),""))</f>
        <v/>
      </c>
      <c r="I334" s="15" t="str">
        <f>IF(E334="","",IFERROR(INDEX(食材マスタ!$K$10:$K$309,MATCH(E334,食材マスタ!$C$10:$C$309,0)),""))</f>
        <v/>
      </c>
      <c r="J334" s="15" t="str">
        <f t="shared" si="25"/>
        <v/>
      </c>
      <c r="K334" s="20"/>
      <c r="L334" s="8" t="str">
        <f t="shared" si="26"/>
        <v/>
      </c>
      <c r="M334" s="9"/>
      <c r="N334" s="13" t="str">
        <f t="shared" si="27"/>
        <v/>
      </c>
      <c r="O334" s="22" t="str">
        <f t="shared" ca="1" si="28"/>
        <v/>
      </c>
      <c r="P334" s="17" t="str">
        <f t="shared" si="29"/>
        <v/>
      </c>
      <c r="Q334" s="11"/>
      <c r="R334" s="19"/>
      <c r="S334" s="19"/>
      <c r="U334">
        <f ca="1">IF(AND(ISNUMBER(O334),O334&lt;=設定!$C$4),1,0)</f>
        <v>0</v>
      </c>
      <c r="V334" t="str">
        <f ca="1">IF(U334=1,SUM($U$10:U334),"")</f>
        <v/>
      </c>
    </row>
    <row r="335" spans="2:22">
      <c r="B335" s="8" t="str">
        <f>IF(C335="","",COUNT($C$10:C335))</f>
        <v/>
      </c>
      <c r="C335" s="20"/>
      <c r="D335" s="11"/>
      <c r="E335" s="9"/>
      <c r="F335" s="21" t="str">
        <f>IF(E335="","",IFERROR(INDEX(食材マスタ!$D$10:$D$309,MATCH(E335,食材マスタ!$C$10:$C$309,0)),"※コード未登録"))</f>
        <v/>
      </c>
      <c r="G335" s="16"/>
      <c r="H335" s="8" t="str">
        <f>IF(E335="","",IFERROR(INDEX(食材マスタ!$H$10:$H$309,MATCH(E335,食材マスタ!$C$10:$C$309,0)),""))</f>
        <v/>
      </c>
      <c r="I335" s="15" t="str">
        <f>IF(E335="","",IFERROR(INDEX(食材マスタ!$K$10:$K$309,MATCH(E335,食材マスタ!$C$10:$C$309,0)),""))</f>
        <v/>
      </c>
      <c r="J335" s="15" t="str">
        <f t="shared" si="25"/>
        <v/>
      </c>
      <c r="K335" s="20"/>
      <c r="L335" s="8" t="str">
        <f t="shared" si="26"/>
        <v/>
      </c>
      <c r="M335" s="9"/>
      <c r="N335" s="13" t="str">
        <f t="shared" si="27"/>
        <v/>
      </c>
      <c r="O335" s="22" t="str">
        <f t="shared" ca="1" si="28"/>
        <v/>
      </c>
      <c r="P335" s="17" t="str">
        <f t="shared" si="29"/>
        <v/>
      </c>
      <c r="Q335" s="11"/>
      <c r="R335" s="19"/>
      <c r="S335" s="19"/>
      <c r="U335">
        <f ca="1">IF(AND(ISNUMBER(O335),O335&lt;=設定!$C$4),1,0)</f>
        <v>0</v>
      </c>
      <c r="V335" t="str">
        <f ca="1">IF(U335=1,SUM($U$10:U335),"")</f>
        <v/>
      </c>
    </row>
    <row r="336" spans="2:22">
      <c r="B336" s="8" t="str">
        <f>IF(C336="","",COUNT($C$10:C336))</f>
        <v/>
      </c>
      <c r="C336" s="20"/>
      <c r="D336" s="11"/>
      <c r="E336" s="9"/>
      <c r="F336" s="21" t="str">
        <f>IF(E336="","",IFERROR(INDEX(食材マスタ!$D$10:$D$309,MATCH(E336,食材マスタ!$C$10:$C$309,0)),"※コード未登録"))</f>
        <v/>
      </c>
      <c r="G336" s="16"/>
      <c r="H336" s="8" t="str">
        <f>IF(E336="","",IFERROR(INDEX(食材マスタ!$H$10:$H$309,MATCH(E336,食材マスタ!$C$10:$C$309,0)),""))</f>
        <v/>
      </c>
      <c r="I336" s="15" t="str">
        <f>IF(E336="","",IFERROR(INDEX(食材マスタ!$K$10:$K$309,MATCH(E336,食材マスタ!$C$10:$C$309,0)),""))</f>
        <v/>
      </c>
      <c r="J336" s="15" t="str">
        <f t="shared" si="25"/>
        <v/>
      </c>
      <c r="K336" s="20"/>
      <c r="L336" s="8" t="str">
        <f t="shared" si="26"/>
        <v/>
      </c>
      <c r="M336" s="9"/>
      <c r="N336" s="13" t="str">
        <f t="shared" si="27"/>
        <v/>
      </c>
      <c r="O336" s="22" t="str">
        <f t="shared" ca="1" si="28"/>
        <v/>
      </c>
      <c r="P336" s="17" t="str">
        <f t="shared" si="29"/>
        <v/>
      </c>
      <c r="Q336" s="11"/>
      <c r="R336" s="19"/>
      <c r="S336" s="19"/>
      <c r="U336">
        <f ca="1">IF(AND(ISNUMBER(O336),O336&lt;=設定!$C$4),1,0)</f>
        <v>0</v>
      </c>
      <c r="V336" t="str">
        <f ca="1">IF(U336=1,SUM($U$10:U336),"")</f>
        <v/>
      </c>
    </row>
    <row r="337" spans="2:22">
      <c r="B337" s="8" t="str">
        <f>IF(C337="","",COUNT($C$10:C337))</f>
        <v/>
      </c>
      <c r="C337" s="20"/>
      <c r="D337" s="11"/>
      <c r="E337" s="9"/>
      <c r="F337" s="21" t="str">
        <f>IF(E337="","",IFERROR(INDEX(食材マスタ!$D$10:$D$309,MATCH(E337,食材マスタ!$C$10:$C$309,0)),"※コード未登録"))</f>
        <v/>
      </c>
      <c r="G337" s="16"/>
      <c r="H337" s="8" t="str">
        <f>IF(E337="","",IFERROR(INDEX(食材マスタ!$H$10:$H$309,MATCH(E337,食材マスタ!$C$10:$C$309,0)),""))</f>
        <v/>
      </c>
      <c r="I337" s="15" t="str">
        <f>IF(E337="","",IFERROR(INDEX(食材マスタ!$K$10:$K$309,MATCH(E337,食材マスタ!$C$10:$C$309,0)),""))</f>
        <v/>
      </c>
      <c r="J337" s="15" t="str">
        <f t="shared" si="25"/>
        <v/>
      </c>
      <c r="K337" s="20"/>
      <c r="L337" s="8" t="str">
        <f t="shared" si="26"/>
        <v/>
      </c>
      <c r="M337" s="9"/>
      <c r="N337" s="13" t="str">
        <f t="shared" si="27"/>
        <v/>
      </c>
      <c r="O337" s="22" t="str">
        <f t="shared" ca="1" si="28"/>
        <v/>
      </c>
      <c r="P337" s="17" t="str">
        <f t="shared" si="29"/>
        <v/>
      </c>
      <c r="Q337" s="11"/>
      <c r="R337" s="19"/>
      <c r="S337" s="19"/>
      <c r="U337">
        <f ca="1">IF(AND(ISNUMBER(O337),O337&lt;=設定!$C$4),1,0)</f>
        <v>0</v>
      </c>
      <c r="V337" t="str">
        <f ca="1">IF(U337=1,SUM($U$10:U337),"")</f>
        <v/>
      </c>
    </row>
    <row r="338" spans="2:22">
      <c r="B338" s="8" t="str">
        <f>IF(C338="","",COUNT($C$10:C338))</f>
        <v/>
      </c>
      <c r="C338" s="20"/>
      <c r="D338" s="11"/>
      <c r="E338" s="9"/>
      <c r="F338" s="21" t="str">
        <f>IF(E338="","",IFERROR(INDEX(食材マスタ!$D$10:$D$309,MATCH(E338,食材マスタ!$C$10:$C$309,0)),"※コード未登録"))</f>
        <v/>
      </c>
      <c r="G338" s="16"/>
      <c r="H338" s="8" t="str">
        <f>IF(E338="","",IFERROR(INDEX(食材マスタ!$H$10:$H$309,MATCH(E338,食材マスタ!$C$10:$C$309,0)),""))</f>
        <v/>
      </c>
      <c r="I338" s="15" t="str">
        <f>IF(E338="","",IFERROR(INDEX(食材マスタ!$K$10:$K$309,MATCH(E338,食材マスタ!$C$10:$C$309,0)),""))</f>
        <v/>
      </c>
      <c r="J338" s="15" t="str">
        <f t="shared" si="25"/>
        <v/>
      </c>
      <c r="K338" s="20"/>
      <c r="L338" s="8" t="str">
        <f t="shared" si="26"/>
        <v/>
      </c>
      <c r="M338" s="9"/>
      <c r="N338" s="13" t="str">
        <f t="shared" si="27"/>
        <v/>
      </c>
      <c r="O338" s="22" t="str">
        <f t="shared" ca="1" si="28"/>
        <v/>
      </c>
      <c r="P338" s="17" t="str">
        <f t="shared" si="29"/>
        <v/>
      </c>
      <c r="Q338" s="11"/>
      <c r="R338" s="19"/>
      <c r="S338" s="19"/>
      <c r="U338">
        <f ca="1">IF(AND(ISNUMBER(O338),O338&lt;=設定!$C$4),1,0)</f>
        <v>0</v>
      </c>
      <c r="V338" t="str">
        <f ca="1">IF(U338=1,SUM($U$10:U338),"")</f>
        <v/>
      </c>
    </row>
    <row r="339" spans="2:22">
      <c r="B339" s="8" t="str">
        <f>IF(C339="","",COUNT($C$10:C339))</f>
        <v/>
      </c>
      <c r="C339" s="20"/>
      <c r="D339" s="11"/>
      <c r="E339" s="9"/>
      <c r="F339" s="21" t="str">
        <f>IF(E339="","",IFERROR(INDEX(食材マスタ!$D$10:$D$309,MATCH(E339,食材マスタ!$C$10:$C$309,0)),"※コード未登録"))</f>
        <v/>
      </c>
      <c r="G339" s="16"/>
      <c r="H339" s="8" t="str">
        <f>IF(E339="","",IFERROR(INDEX(食材マスタ!$H$10:$H$309,MATCH(E339,食材マスタ!$C$10:$C$309,0)),""))</f>
        <v/>
      </c>
      <c r="I339" s="15" t="str">
        <f>IF(E339="","",IFERROR(INDEX(食材マスタ!$K$10:$K$309,MATCH(E339,食材マスタ!$C$10:$C$309,0)),""))</f>
        <v/>
      </c>
      <c r="J339" s="15" t="str">
        <f t="shared" si="25"/>
        <v/>
      </c>
      <c r="K339" s="20"/>
      <c r="L339" s="8" t="str">
        <f t="shared" si="26"/>
        <v/>
      </c>
      <c r="M339" s="9"/>
      <c r="N339" s="13" t="str">
        <f t="shared" si="27"/>
        <v/>
      </c>
      <c r="O339" s="22" t="str">
        <f t="shared" ca="1" si="28"/>
        <v/>
      </c>
      <c r="P339" s="17" t="str">
        <f t="shared" si="29"/>
        <v/>
      </c>
      <c r="Q339" s="11"/>
      <c r="R339" s="19"/>
      <c r="S339" s="19"/>
      <c r="U339">
        <f ca="1">IF(AND(ISNUMBER(O339),O339&lt;=設定!$C$4),1,0)</f>
        <v>0</v>
      </c>
      <c r="V339" t="str">
        <f ca="1">IF(U339=1,SUM($U$10:U339),"")</f>
        <v/>
      </c>
    </row>
    <row r="340" spans="2:22">
      <c r="B340" s="8" t="str">
        <f>IF(C340="","",COUNT($C$10:C340))</f>
        <v/>
      </c>
      <c r="C340" s="20"/>
      <c r="D340" s="11"/>
      <c r="E340" s="9"/>
      <c r="F340" s="21" t="str">
        <f>IF(E340="","",IFERROR(INDEX(食材マスタ!$D$10:$D$309,MATCH(E340,食材マスタ!$C$10:$C$309,0)),"※コード未登録"))</f>
        <v/>
      </c>
      <c r="G340" s="16"/>
      <c r="H340" s="8" t="str">
        <f>IF(E340="","",IFERROR(INDEX(食材マスタ!$H$10:$H$309,MATCH(E340,食材マスタ!$C$10:$C$309,0)),""))</f>
        <v/>
      </c>
      <c r="I340" s="15" t="str">
        <f>IF(E340="","",IFERROR(INDEX(食材マスタ!$K$10:$K$309,MATCH(E340,食材マスタ!$C$10:$C$309,0)),""))</f>
        <v/>
      </c>
      <c r="J340" s="15" t="str">
        <f t="shared" si="25"/>
        <v/>
      </c>
      <c r="K340" s="20"/>
      <c r="L340" s="8" t="str">
        <f t="shared" si="26"/>
        <v/>
      </c>
      <c r="M340" s="9"/>
      <c r="N340" s="13" t="str">
        <f t="shared" si="27"/>
        <v/>
      </c>
      <c r="O340" s="22" t="str">
        <f t="shared" ca="1" si="28"/>
        <v/>
      </c>
      <c r="P340" s="17" t="str">
        <f t="shared" si="29"/>
        <v/>
      </c>
      <c r="Q340" s="11"/>
      <c r="R340" s="19"/>
      <c r="S340" s="19"/>
      <c r="U340">
        <f ca="1">IF(AND(ISNUMBER(O340),O340&lt;=設定!$C$4),1,0)</f>
        <v>0</v>
      </c>
      <c r="V340" t="str">
        <f ca="1">IF(U340=1,SUM($U$10:U340),"")</f>
        <v/>
      </c>
    </row>
    <row r="341" spans="2:22">
      <c r="B341" s="8" t="str">
        <f>IF(C341="","",COUNT($C$10:C341))</f>
        <v/>
      </c>
      <c r="C341" s="20"/>
      <c r="D341" s="11"/>
      <c r="E341" s="9"/>
      <c r="F341" s="21" t="str">
        <f>IF(E341="","",IFERROR(INDEX(食材マスタ!$D$10:$D$309,MATCH(E341,食材マスタ!$C$10:$C$309,0)),"※コード未登録"))</f>
        <v/>
      </c>
      <c r="G341" s="16"/>
      <c r="H341" s="8" t="str">
        <f>IF(E341="","",IFERROR(INDEX(食材マスタ!$H$10:$H$309,MATCH(E341,食材マスタ!$C$10:$C$309,0)),""))</f>
        <v/>
      </c>
      <c r="I341" s="15" t="str">
        <f>IF(E341="","",IFERROR(INDEX(食材マスタ!$K$10:$K$309,MATCH(E341,食材マスタ!$C$10:$C$309,0)),""))</f>
        <v/>
      </c>
      <c r="J341" s="15" t="str">
        <f t="shared" si="25"/>
        <v/>
      </c>
      <c r="K341" s="20"/>
      <c r="L341" s="8" t="str">
        <f t="shared" si="26"/>
        <v/>
      </c>
      <c r="M341" s="9"/>
      <c r="N341" s="13" t="str">
        <f t="shared" si="27"/>
        <v/>
      </c>
      <c r="O341" s="22" t="str">
        <f t="shared" ca="1" si="28"/>
        <v/>
      </c>
      <c r="P341" s="17" t="str">
        <f t="shared" si="29"/>
        <v/>
      </c>
      <c r="Q341" s="11"/>
      <c r="R341" s="19"/>
      <c r="S341" s="19"/>
      <c r="U341">
        <f ca="1">IF(AND(ISNUMBER(O341),O341&lt;=設定!$C$4),1,0)</f>
        <v>0</v>
      </c>
      <c r="V341" t="str">
        <f ca="1">IF(U341=1,SUM($U$10:U341),"")</f>
        <v/>
      </c>
    </row>
    <row r="342" spans="2:22">
      <c r="B342" s="8" t="str">
        <f>IF(C342="","",COUNT($C$10:C342))</f>
        <v/>
      </c>
      <c r="C342" s="20"/>
      <c r="D342" s="11"/>
      <c r="E342" s="9"/>
      <c r="F342" s="21" t="str">
        <f>IF(E342="","",IFERROR(INDEX(食材マスタ!$D$10:$D$309,MATCH(E342,食材マスタ!$C$10:$C$309,0)),"※コード未登録"))</f>
        <v/>
      </c>
      <c r="G342" s="16"/>
      <c r="H342" s="8" t="str">
        <f>IF(E342="","",IFERROR(INDEX(食材マスタ!$H$10:$H$309,MATCH(E342,食材マスタ!$C$10:$C$309,0)),""))</f>
        <v/>
      </c>
      <c r="I342" s="15" t="str">
        <f>IF(E342="","",IFERROR(INDEX(食材マスタ!$K$10:$K$309,MATCH(E342,食材マスタ!$C$10:$C$309,0)),""))</f>
        <v/>
      </c>
      <c r="J342" s="15" t="str">
        <f t="shared" si="25"/>
        <v/>
      </c>
      <c r="K342" s="20"/>
      <c r="L342" s="8" t="str">
        <f t="shared" si="26"/>
        <v/>
      </c>
      <c r="M342" s="9"/>
      <c r="N342" s="13" t="str">
        <f t="shared" si="27"/>
        <v/>
      </c>
      <c r="O342" s="22" t="str">
        <f t="shared" ca="1" si="28"/>
        <v/>
      </c>
      <c r="P342" s="17" t="str">
        <f t="shared" si="29"/>
        <v/>
      </c>
      <c r="Q342" s="11"/>
      <c r="R342" s="19"/>
      <c r="S342" s="19"/>
      <c r="U342">
        <f ca="1">IF(AND(ISNUMBER(O342),O342&lt;=設定!$C$4),1,0)</f>
        <v>0</v>
      </c>
      <c r="V342" t="str">
        <f ca="1">IF(U342=1,SUM($U$10:U342),"")</f>
        <v/>
      </c>
    </row>
    <row r="343" spans="2:22">
      <c r="B343" s="8" t="str">
        <f>IF(C343="","",COUNT($C$10:C343))</f>
        <v/>
      </c>
      <c r="C343" s="20"/>
      <c r="D343" s="11"/>
      <c r="E343" s="9"/>
      <c r="F343" s="21" t="str">
        <f>IF(E343="","",IFERROR(INDEX(食材マスタ!$D$10:$D$309,MATCH(E343,食材マスタ!$C$10:$C$309,0)),"※コード未登録"))</f>
        <v/>
      </c>
      <c r="G343" s="16"/>
      <c r="H343" s="8" t="str">
        <f>IF(E343="","",IFERROR(INDEX(食材マスタ!$H$10:$H$309,MATCH(E343,食材マスタ!$C$10:$C$309,0)),""))</f>
        <v/>
      </c>
      <c r="I343" s="15" t="str">
        <f>IF(E343="","",IFERROR(INDEX(食材マスタ!$K$10:$K$309,MATCH(E343,食材マスタ!$C$10:$C$309,0)),""))</f>
        <v/>
      </c>
      <c r="J343" s="15" t="str">
        <f t="shared" si="25"/>
        <v/>
      </c>
      <c r="K343" s="20"/>
      <c r="L343" s="8" t="str">
        <f t="shared" si="26"/>
        <v/>
      </c>
      <c r="M343" s="9"/>
      <c r="N343" s="13" t="str">
        <f t="shared" si="27"/>
        <v/>
      </c>
      <c r="O343" s="22" t="str">
        <f t="shared" ca="1" si="28"/>
        <v/>
      </c>
      <c r="P343" s="17" t="str">
        <f t="shared" si="29"/>
        <v/>
      </c>
      <c r="Q343" s="11"/>
      <c r="R343" s="19"/>
      <c r="S343" s="19"/>
      <c r="U343">
        <f ca="1">IF(AND(ISNUMBER(O343),O343&lt;=設定!$C$4),1,0)</f>
        <v>0</v>
      </c>
      <c r="V343" t="str">
        <f ca="1">IF(U343=1,SUM($U$10:U343),"")</f>
        <v/>
      </c>
    </row>
    <row r="344" spans="2:22">
      <c r="B344" s="8" t="str">
        <f>IF(C344="","",COUNT($C$10:C344))</f>
        <v/>
      </c>
      <c r="C344" s="20"/>
      <c r="D344" s="11"/>
      <c r="E344" s="9"/>
      <c r="F344" s="21" t="str">
        <f>IF(E344="","",IFERROR(INDEX(食材マスタ!$D$10:$D$309,MATCH(E344,食材マスタ!$C$10:$C$309,0)),"※コード未登録"))</f>
        <v/>
      </c>
      <c r="G344" s="16"/>
      <c r="H344" s="8" t="str">
        <f>IF(E344="","",IFERROR(INDEX(食材マスタ!$H$10:$H$309,MATCH(E344,食材マスタ!$C$10:$C$309,0)),""))</f>
        <v/>
      </c>
      <c r="I344" s="15" t="str">
        <f>IF(E344="","",IFERROR(INDEX(食材マスタ!$K$10:$K$309,MATCH(E344,食材マスタ!$C$10:$C$309,0)),""))</f>
        <v/>
      </c>
      <c r="J344" s="15" t="str">
        <f t="shared" si="25"/>
        <v/>
      </c>
      <c r="K344" s="20"/>
      <c r="L344" s="8" t="str">
        <f t="shared" si="26"/>
        <v/>
      </c>
      <c r="M344" s="9"/>
      <c r="N344" s="13" t="str">
        <f t="shared" si="27"/>
        <v/>
      </c>
      <c r="O344" s="22" t="str">
        <f t="shared" ca="1" si="28"/>
        <v/>
      </c>
      <c r="P344" s="17" t="str">
        <f t="shared" si="29"/>
        <v/>
      </c>
      <c r="Q344" s="11"/>
      <c r="R344" s="19"/>
      <c r="S344" s="19"/>
      <c r="U344">
        <f ca="1">IF(AND(ISNUMBER(O344),O344&lt;=設定!$C$4),1,0)</f>
        <v>0</v>
      </c>
      <c r="V344" t="str">
        <f ca="1">IF(U344=1,SUM($U$10:U344),"")</f>
        <v/>
      </c>
    </row>
    <row r="345" spans="2:22">
      <c r="B345" s="8" t="str">
        <f>IF(C345="","",COUNT($C$10:C345))</f>
        <v/>
      </c>
      <c r="C345" s="20"/>
      <c r="D345" s="11"/>
      <c r="E345" s="9"/>
      <c r="F345" s="21" t="str">
        <f>IF(E345="","",IFERROR(INDEX(食材マスタ!$D$10:$D$309,MATCH(E345,食材マスタ!$C$10:$C$309,0)),"※コード未登録"))</f>
        <v/>
      </c>
      <c r="G345" s="16"/>
      <c r="H345" s="8" t="str">
        <f>IF(E345="","",IFERROR(INDEX(食材マスタ!$H$10:$H$309,MATCH(E345,食材マスタ!$C$10:$C$309,0)),""))</f>
        <v/>
      </c>
      <c r="I345" s="15" t="str">
        <f>IF(E345="","",IFERROR(INDEX(食材マスタ!$K$10:$K$309,MATCH(E345,食材マスタ!$C$10:$C$309,0)),""))</f>
        <v/>
      </c>
      <c r="J345" s="15" t="str">
        <f t="shared" si="25"/>
        <v/>
      </c>
      <c r="K345" s="20"/>
      <c r="L345" s="8" t="str">
        <f t="shared" si="26"/>
        <v/>
      </c>
      <c r="M345" s="9"/>
      <c r="N345" s="13" t="str">
        <f t="shared" si="27"/>
        <v/>
      </c>
      <c r="O345" s="22" t="str">
        <f t="shared" ca="1" si="28"/>
        <v/>
      </c>
      <c r="P345" s="17" t="str">
        <f t="shared" si="29"/>
        <v/>
      </c>
      <c r="Q345" s="11"/>
      <c r="R345" s="19"/>
      <c r="S345" s="19"/>
      <c r="U345">
        <f ca="1">IF(AND(ISNUMBER(O345),O345&lt;=設定!$C$4),1,0)</f>
        <v>0</v>
      </c>
      <c r="V345" t="str">
        <f ca="1">IF(U345=1,SUM($U$10:U345),"")</f>
        <v/>
      </c>
    </row>
    <row r="346" spans="2:22">
      <c r="B346" s="8" t="str">
        <f>IF(C346="","",COUNT($C$10:C346))</f>
        <v/>
      </c>
      <c r="C346" s="20"/>
      <c r="D346" s="11"/>
      <c r="E346" s="9"/>
      <c r="F346" s="21" t="str">
        <f>IF(E346="","",IFERROR(INDEX(食材マスタ!$D$10:$D$309,MATCH(E346,食材マスタ!$C$10:$C$309,0)),"※コード未登録"))</f>
        <v/>
      </c>
      <c r="G346" s="16"/>
      <c r="H346" s="8" t="str">
        <f>IF(E346="","",IFERROR(INDEX(食材マスタ!$H$10:$H$309,MATCH(E346,食材マスタ!$C$10:$C$309,0)),""))</f>
        <v/>
      </c>
      <c r="I346" s="15" t="str">
        <f>IF(E346="","",IFERROR(INDEX(食材マスタ!$K$10:$K$309,MATCH(E346,食材マスタ!$C$10:$C$309,0)),""))</f>
        <v/>
      </c>
      <c r="J346" s="15" t="str">
        <f t="shared" si="25"/>
        <v/>
      </c>
      <c r="K346" s="20"/>
      <c r="L346" s="8" t="str">
        <f t="shared" si="26"/>
        <v/>
      </c>
      <c r="M346" s="9"/>
      <c r="N346" s="13" t="str">
        <f t="shared" si="27"/>
        <v/>
      </c>
      <c r="O346" s="22" t="str">
        <f t="shared" ca="1" si="28"/>
        <v/>
      </c>
      <c r="P346" s="17" t="str">
        <f t="shared" si="29"/>
        <v/>
      </c>
      <c r="Q346" s="11"/>
      <c r="R346" s="19"/>
      <c r="S346" s="19"/>
      <c r="U346">
        <f ca="1">IF(AND(ISNUMBER(O346),O346&lt;=設定!$C$4),1,0)</f>
        <v>0</v>
      </c>
      <c r="V346" t="str">
        <f ca="1">IF(U346=1,SUM($U$10:U346),"")</f>
        <v/>
      </c>
    </row>
    <row r="347" spans="2:22">
      <c r="B347" s="8" t="str">
        <f>IF(C347="","",COUNT($C$10:C347))</f>
        <v/>
      </c>
      <c r="C347" s="20"/>
      <c r="D347" s="11"/>
      <c r="E347" s="9"/>
      <c r="F347" s="21" t="str">
        <f>IF(E347="","",IFERROR(INDEX(食材マスタ!$D$10:$D$309,MATCH(E347,食材マスタ!$C$10:$C$309,0)),"※コード未登録"))</f>
        <v/>
      </c>
      <c r="G347" s="16"/>
      <c r="H347" s="8" t="str">
        <f>IF(E347="","",IFERROR(INDEX(食材マスタ!$H$10:$H$309,MATCH(E347,食材マスタ!$C$10:$C$309,0)),""))</f>
        <v/>
      </c>
      <c r="I347" s="15" t="str">
        <f>IF(E347="","",IFERROR(INDEX(食材マスタ!$K$10:$K$309,MATCH(E347,食材マスタ!$C$10:$C$309,0)),""))</f>
        <v/>
      </c>
      <c r="J347" s="15" t="str">
        <f t="shared" si="25"/>
        <v/>
      </c>
      <c r="K347" s="20"/>
      <c r="L347" s="8" t="str">
        <f t="shared" si="26"/>
        <v/>
      </c>
      <c r="M347" s="9"/>
      <c r="N347" s="13" t="str">
        <f t="shared" si="27"/>
        <v/>
      </c>
      <c r="O347" s="22" t="str">
        <f t="shared" ca="1" si="28"/>
        <v/>
      </c>
      <c r="P347" s="17" t="str">
        <f t="shared" si="29"/>
        <v/>
      </c>
      <c r="Q347" s="11"/>
      <c r="R347" s="19"/>
      <c r="S347" s="19"/>
      <c r="U347">
        <f ca="1">IF(AND(ISNUMBER(O347),O347&lt;=設定!$C$4),1,0)</f>
        <v>0</v>
      </c>
      <c r="V347" t="str">
        <f ca="1">IF(U347=1,SUM($U$10:U347),"")</f>
        <v/>
      </c>
    </row>
    <row r="348" spans="2:22">
      <c r="B348" s="8" t="str">
        <f>IF(C348="","",COUNT($C$10:C348))</f>
        <v/>
      </c>
      <c r="C348" s="20"/>
      <c r="D348" s="11"/>
      <c r="E348" s="9"/>
      <c r="F348" s="21" t="str">
        <f>IF(E348="","",IFERROR(INDEX(食材マスタ!$D$10:$D$309,MATCH(E348,食材マスタ!$C$10:$C$309,0)),"※コード未登録"))</f>
        <v/>
      </c>
      <c r="G348" s="16"/>
      <c r="H348" s="8" t="str">
        <f>IF(E348="","",IFERROR(INDEX(食材マスタ!$H$10:$H$309,MATCH(E348,食材マスタ!$C$10:$C$309,0)),""))</f>
        <v/>
      </c>
      <c r="I348" s="15" t="str">
        <f>IF(E348="","",IFERROR(INDEX(食材マスタ!$K$10:$K$309,MATCH(E348,食材マスタ!$C$10:$C$309,0)),""))</f>
        <v/>
      </c>
      <c r="J348" s="15" t="str">
        <f t="shared" si="25"/>
        <v/>
      </c>
      <c r="K348" s="20"/>
      <c r="L348" s="8" t="str">
        <f t="shared" si="26"/>
        <v/>
      </c>
      <c r="M348" s="9"/>
      <c r="N348" s="13" t="str">
        <f t="shared" si="27"/>
        <v/>
      </c>
      <c r="O348" s="22" t="str">
        <f t="shared" ca="1" si="28"/>
        <v/>
      </c>
      <c r="P348" s="17" t="str">
        <f t="shared" si="29"/>
        <v/>
      </c>
      <c r="Q348" s="11"/>
      <c r="R348" s="19"/>
      <c r="S348" s="19"/>
      <c r="U348">
        <f ca="1">IF(AND(ISNUMBER(O348),O348&lt;=設定!$C$4),1,0)</f>
        <v>0</v>
      </c>
      <c r="V348" t="str">
        <f ca="1">IF(U348=1,SUM($U$10:U348),"")</f>
        <v/>
      </c>
    </row>
    <row r="349" spans="2:22">
      <c r="B349" s="8" t="str">
        <f>IF(C349="","",COUNT($C$10:C349))</f>
        <v/>
      </c>
      <c r="C349" s="20"/>
      <c r="D349" s="11"/>
      <c r="E349" s="9"/>
      <c r="F349" s="21" t="str">
        <f>IF(E349="","",IFERROR(INDEX(食材マスタ!$D$10:$D$309,MATCH(E349,食材マスタ!$C$10:$C$309,0)),"※コード未登録"))</f>
        <v/>
      </c>
      <c r="G349" s="16"/>
      <c r="H349" s="8" t="str">
        <f>IF(E349="","",IFERROR(INDEX(食材マスタ!$H$10:$H$309,MATCH(E349,食材マスタ!$C$10:$C$309,0)),""))</f>
        <v/>
      </c>
      <c r="I349" s="15" t="str">
        <f>IF(E349="","",IFERROR(INDEX(食材マスタ!$K$10:$K$309,MATCH(E349,食材マスタ!$C$10:$C$309,0)),""))</f>
        <v/>
      </c>
      <c r="J349" s="15" t="str">
        <f t="shared" si="25"/>
        <v/>
      </c>
      <c r="K349" s="20"/>
      <c r="L349" s="8" t="str">
        <f t="shared" si="26"/>
        <v/>
      </c>
      <c r="M349" s="9"/>
      <c r="N349" s="13" t="str">
        <f t="shared" si="27"/>
        <v/>
      </c>
      <c r="O349" s="22" t="str">
        <f t="shared" ca="1" si="28"/>
        <v/>
      </c>
      <c r="P349" s="17" t="str">
        <f t="shared" si="29"/>
        <v/>
      </c>
      <c r="Q349" s="11"/>
      <c r="R349" s="19"/>
      <c r="S349" s="19"/>
      <c r="U349">
        <f ca="1">IF(AND(ISNUMBER(O349),O349&lt;=設定!$C$4),1,0)</f>
        <v>0</v>
      </c>
      <c r="V349" t="str">
        <f ca="1">IF(U349=1,SUM($U$10:U349),"")</f>
        <v/>
      </c>
    </row>
    <row r="350" spans="2:22">
      <c r="B350" s="8" t="str">
        <f>IF(C350="","",COUNT($C$10:C350))</f>
        <v/>
      </c>
      <c r="C350" s="20"/>
      <c r="D350" s="11"/>
      <c r="E350" s="9"/>
      <c r="F350" s="21" t="str">
        <f>IF(E350="","",IFERROR(INDEX(食材マスタ!$D$10:$D$309,MATCH(E350,食材マスタ!$C$10:$C$309,0)),"※コード未登録"))</f>
        <v/>
      </c>
      <c r="G350" s="16"/>
      <c r="H350" s="8" t="str">
        <f>IF(E350="","",IFERROR(INDEX(食材マスタ!$H$10:$H$309,MATCH(E350,食材マスタ!$C$10:$C$309,0)),""))</f>
        <v/>
      </c>
      <c r="I350" s="15" t="str">
        <f>IF(E350="","",IFERROR(INDEX(食材マスタ!$K$10:$K$309,MATCH(E350,食材マスタ!$C$10:$C$309,0)),""))</f>
        <v/>
      </c>
      <c r="J350" s="15" t="str">
        <f t="shared" si="25"/>
        <v/>
      </c>
      <c r="K350" s="20"/>
      <c r="L350" s="8" t="str">
        <f t="shared" si="26"/>
        <v/>
      </c>
      <c r="M350" s="9"/>
      <c r="N350" s="13" t="str">
        <f t="shared" si="27"/>
        <v/>
      </c>
      <c r="O350" s="22" t="str">
        <f t="shared" ca="1" si="28"/>
        <v/>
      </c>
      <c r="P350" s="17" t="str">
        <f t="shared" si="29"/>
        <v/>
      </c>
      <c r="Q350" s="11"/>
      <c r="R350" s="19"/>
      <c r="S350" s="19"/>
      <c r="U350">
        <f ca="1">IF(AND(ISNUMBER(O350),O350&lt;=設定!$C$4),1,0)</f>
        <v>0</v>
      </c>
      <c r="V350" t="str">
        <f ca="1">IF(U350=1,SUM($U$10:U350),"")</f>
        <v/>
      </c>
    </row>
    <row r="351" spans="2:22">
      <c r="B351" s="8" t="str">
        <f>IF(C351="","",COUNT($C$10:C351))</f>
        <v/>
      </c>
      <c r="C351" s="20"/>
      <c r="D351" s="11"/>
      <c r="E351" s="9"/>
      <c r="F351" s="21" t="str">
        <f>IF(E351="","",IFERROR(INDEX(食材マスタ!$D$10:$D$309,MATCH(E351,食材マスタ!$C$10:$C$309,0)),"※コード未登録"))</f>
        <v/>
      </c>
      <c r="G351" s="16"/>
      <c r="H351" s="8" t="str">
        <f>IF(E351="","",IFERROR(INDEX(食材マスタ!$H$10:$H$309,MATCH(E351,食材マスタ!$C$10:$C$309,0)),""))</f>
        <v/>
      </c>
      <c r="I351" s="15" t="str">
        <f>IF(E351="","",IFERROR(INDEX(食材マスタ!$K$10:$K$309,MATCH(E351,食材マスタ!$C$10:$C$309,0)),""))</f>
        <v/>
      </c>
      <c r="J351" s="15" t="str">
        <f t="shared" si="25"/>
        <v/>
      </c>
      <c r="K351" s="20"/>
      <c r="L351" s="8" t="str">
        <f t="shared" si="26"/>
        <v/>
      </c>
      <c r="M351" s="9"/>
      <c r="N351" s="13" t="str">
        <f t="shared" si="27"/>
        <v/>
      </c>
      <c r="O351" s="22" t="str">
        <f t="shared" ca="1" si="28"/>
        <v/>
      </c>
      <c r="P351" s="17" t="str">
        <f t="shared" si="29"/>
        <v/>
      </c>
      <c r="Q351" s="11"/>
      <c r="R351" s="19"/>
      <c r="S351" s="19"/>
      <c r="U351">
        <f ca="1">IF(AND(ISNUMBER(O351),O351&lt;=設定!$C$4),1,0)</f>
        <v>0</v>
      </c>
      <c r="V351" t="str">
        <f ca="1">IF(U351=1,SUM($U$10:U351),"")</f>
        <v/>
      </c>
    </row>
    <row r="352" spans="2:22">
      <c r="B352" s="8" t="str">
        <f>IF(C352="","",COUNT($C$10:C352))</f>
        <v/>
      </c>
      <c r="C352" s="20"/>
      <c r="D352" s="11"/>
      <c r="E352" s="9"/>
      <c r="F352" s="21" t="str">
        <f>IF(E352="","",IFERROR(INDEX(食材マスタ!$D$10:$D$309,MATCH(E352,食材マスタ!$C$10:$C$309,0)),"※コード未登録"))</f>
        <v/>
      </c>
      <c r="G352" s="16"/>
      <c r="H352" s="8" t="str">
        <f>IF(E352="","",IFERROR(INDEX(食材マスタ!$H$10:$H$309,MATCH(E352,食材マスタ!$C$10:$C$309,0)),""))</f>
        <v/>
      </c>
      <c r="I352" s="15" t="str">
        <f>IF(E352="","",IFERROR(INDEX(食材マスタ!$K$10:$K$309,MATCH(E352,食材マスタ!$C$10:$C$309,0)),""))</f>
        <v/>
      </c>
      <c r="J352" s="15" t="str">
        <f t="shared" si="25"/>
        <v/>
      </c>
      <c r="K352" s="20"/>
      <c r="L352" s="8" t="str">
        <f t="shared" si="26"/>
        <v/>
      </c>
      <c r="M352" s="9"/>
      <c r="N352" s="13" t="str">
        <f t="shared" si="27"/>
        <v/>
      </c>
      <c r="O352" s="22" t="str">
        <f t="shared" ca="1" si="28"/>
        <v/>
      </c>
      <c r="P352" s="17" t="str">
        <f t="shared" si="29"/>
        <v/>
      </c>
      <c r="Q352" s="11"/>
      <c r="R352" s="19"/>
      <c r="S352" s="19"/>
      <c r="U352">
        <f ca="1">IF(AND(ISNUMBER(O352),O352&lt;=設定!$C$4),1,0)</f>
        <v>0</v>
      </c>
      <c r="V352" t="str">
        <f ca="1">IF(U352=1,SUM($U$10:U352),"")</f>
        <v/>
      </c>
    </row>
    <row r="353" spans="2:22">
      <c r="B353" s="8" t="str">
        <f>IF(C353="","",COUNT($C$10:C353))</f>
        <v/>
      </c>
      <c r="C353" s="20"/>
      <c r="D353" s="11"/>
      <c r="E353" s="9"/>
      <c r="F353" s="21" t="str">
        <f>IF(E353="","",IFERROR(INDEX(食材マスタ!$D$10:$D$309,MATCH(E353,食材マスタ!$C$10:$C$309,0)),"※コード未登録"))</f>
        <v/>
      </c>
      <c r="G353" s="16"/>
      <c r="H353" s="8" t="str">
        <f>IF(E353="","",IFERROR(INDEX(食材マスタ!$H$10:$H$309,MATCH(E353,食材マスタ!$C$10:$C$309,0)),""))</f>
        <v/>
      </c>
      <c r="I353" s="15" t="str">
        <f>IF(E353="","",IFERROR(INDEX(食材マスタ!$K$10:$K$309,MATCH(E353,食材マスタ!$C$10:$C$309,0)),""))</f>
        <v/>
      </c>
      <c r="J353" s="15" t="str">
        <f t="shared" si="25"/>
        <v/>
      </c>
      <c r="K353" s="20"/>
      <c r="L353" s="8" t="str">
        <f t="shared" si="26"/>
        <v/>
      </c>
      <c r="M353" s="9"/>
      <c r="N353" s="13" t="str">
        <f t="shared" si="27"/>
        <v/>
      </c>
      <c r="O353" s="22" t="str">
        <f t="shared" ca="1" si="28"/>
        <v/>
      </c>
      <c r="P353" s="17" t="str">
        <f t="shared" si="29"/>
        <v/>
      </c>
      <c r="Q353" s="11"/>
      <c r="R353" s="19"/>
      <c r="S353" s="19"/>
      <c r="U353">
        <f ca="1">IF(AND(ISNUMBER(O353),O353&lt;=設定!$C$4),1,0)</f>
        <v>0</v>
      </c>
      <c r="V353" t="str">
        <f ca="1">IF(U353=1,SUM($U$10:U353),"")</f>
        <v/>
      </c>
    </row>
    <row r="354" spans="2:22">
      <c r="B354" s="8" t="str">
        <f>IF(C354="","",COUNT($C$10:C354))</f>
        <v/>
      </c>
      <c r="C354" s="20"/>
      <c r="D354" s="11"/>
      <c r="E354" s="9"/>
      <c r="F354" s="21" t="str">
        <f>IF(E354="","",IFERROR(INDEX(食材マスタ!$D$10:$D$309,MATCH(E354,食材マスタ!$C$10:$C$309,0)),"※コード未登録"))</f>
        <v/>
      </c>
      <c r="G354" s="16"/>
      <c r="H354" s="8" t="str">
        <f>IF(E354="","",IFERROR(INDEX(食材マスタ!$H$10:$H$309,MATCH(E354,食材マスタ!$C$10:$C$309,0)),""))</f>
        <v/>
      </c>
      <c r="I354" s="15" t="str">
        <f>IF(E354="","",IFERROR(INDEX(食材マスタ!$K$10:$K$309,MATCH(E354,食材マスタ!$C$10:$C$309,0)),""))</f>
        <v/>
      </c>
      <c r="J354" s="15" t="str">
        <f t="shared" si="25"/>
        <v/>
      </c>
      <c r="K354" s="20"/>
      <c r="L354" s="8" t="str">
        <f t="shared" si="26"/>
        <v/>
      </c>
      <c r="M354" s="9"/>
      <c r="N354" s="13" t="str">
        <f t="shared" si="27"/>
        <v/>
      </c>
      <c r="O354" s="22" t="str">
        <f t="shared" ca="1" si="28"/>
        <v/>
      </c>
      <c r="P354" s="17" t="str">
        <f t="shared" si="29"/>
        <v/>
      </c>
      <c r="Q354" s="11"/>
      <c r="R354" s="19"/>
      <c r="S354" s="19"/>
      <c r="U354">
        <f ca="1">IF(AND(ISNUMBER(O354),O354&lt;=設定!$C$4),1,0)</f>
        <v>0</v>
      </c>
      <c r="V354" t="str">
        <f ca="1">IF(U354=1,SUM($U$10:U354),"")</f>
        <v/>
      </c>
    </row>
    <row r="355" spans="2:22">
      <c r="B355" s="8" t="str">
        <f>IF(C355="","",COUNT($C$10:C355))</f>
        <v/>
      </c>
      <c r="C355" s="20"/>
      <c r="D355" s="11"/>
      <c r="E355" s="9"/>
      <c r="F355" s="21" t="str">
        <f>IF(E355="","",IFERROR(INDEX(食材マスタ!$D$10:$D$309,MATCH(E355,食材マスタ!$C$10:$C$309,0)),"※コード未登録"))</f>
        <v/>
      </c>
      <c r="G355" s="16"/>
      <c r="H355" s="8" t="str">
        <f>IF(E355="","",IFERROR(INDEX(食材マスタ!$H$10:$H$309,MATCH(E355,食材マスタ!$C$10:$C$309,0)),""))</f>
        <v/>
      </c>
      <c r="I355" s="15" t="str">
        <f>IF(E355="","",IFERROR(INDEX(食材マスタ!$K$10:$K$309,MATCH(E355,食材マスタ!$C$10:$C$309,0)),""))</f>
        <v/>
      </c>
      <c r="J355" s="15" t="str">
        <f t="shared" si="25"/>
        <v/>
      </c>
      <c r="K355" s="20"/>
      <c r="L355" s="8" t="str">
        <f t="shared" si="26"/>
        <v/>
      </c>
      <c r="M355" s="9"/>
      <c r="N355" s="13" t="str">
        <f t="shared" si="27"/>
        <v/>
      </c>
      <c r="O355" s="22" t="str">
        <f t="shared" ca="1" si="28"/>
        <v/>
      </c>
      <c r="P355" s="17" t="str">
        <f t="shared" si="29"/>
        <v/>
      </c>
      <c r="Q355" s="11"/>
      <c r="R355" s="19"/>
      <c r="S355" s="19"/>
      <c r="U355">
        <f ca="1">IF(AND(ISNUMBER(O355),O355&lt;=設定!$C$4),1,0)</f>
        <v>0</v>
      </c>
      <c r="V355" t="str">
        <f ca="1">IF(U355=1,SUM($U$10:U355),"")</f>
        <v/>
      </c>
    </row>
    <row r="356" spans="2:22">
      <c r="B356" s="8" t="str">
        <f>IF(C356="","",COUNT($C$10:C356))</f>
        <v/>
      </c>
      <c r="C356" s="20"/>
      <c r="D356" s="11"/>
      <c r="E356" s="9"/>
      <c r="F356" s="21" t="str">
        <f>IF(E356="","",IFERROR(INDEX(食材マスタ!$D$10:$D$309,MATCH(E356,食材マスタ!$C$10:$C$309,0)),"※コード未登録"))</f>
        <v/>
      </c>
      <c r="G356" s="16"/>
      <c r="H356" s="8" t="str">
        <f>IF(E356="","",IFERROR(INDEX(食材マスタ!$H$10:$H$309,MATCH(E356,食材マスタ!$C$10:$C$309,0)),""))</f>
        <v/>
      </c>
      <c r="I356" s="15" t="str">
        <f>IF(E356="","",IFERROR(INDEX(食材マスタ!$K$10:$K$309,MATCH(E356,食材マスタ!$C$10:$C$309,0)),""))</f>
        <v/>
      </c>
      <c r="J356" s="15" t="str">
        <f t="shared" si="25"/>
        <v/>
      </c>
      <c r="K356" s="20"/>
      <c r="L356" s="8" t="str">
        <f t="shared" si="26"/>
        <v/>
      </c>
      <c r="M356" s="9"/>
      <c r="N356" s="13" t="str">
        <f t="shared" si="27"/>
        <v/>
      </c>
      <c r="O356" s="22" t="str">
        <f t="shared" ca="1" si="28"/>
        <v/>
      </c>
      <c r="P356" s="17" t="str">
        <f t="shared" si="29"/>
        <v/>
      </c>
      <c r="Q356" s="11"/>
      <c r="R356" s="19"/>
      <c r="S356" s="19"/>
      <c r="U356">
        <f ca="1">IF(AND(ISNUMBER(O356),O356&lt;=設定!$C$4),1,0)</f>
        <v>0</v>
      </c>
      <c r="V356" t="str">
        <f ca="1">IF(U356=1,SUM($U$10:U356),"")</f>
        <v/>
      </c>
    </row>
    <row r="357" spans="2:22">
      <c r="B357" s="8" t="str">
        <f>IF(C357="","",COUNT($C$10:C357))</f>
        <v/>
      </c>
      <c r="C357" s="20"/>
      <c r="D357" s="11"/>
      <c r="E357" s="9"/>
      <c r="F357" s="21" t="str">
        <f>IF(E357="","",IFERROR(INDEX(食材マスタ!$D$10:$D$309,MATCH(E357,食材マスタ!$C$10:$C$309,0)),"※コード未登録"))</f>
        <v/>
      </c>
      <c r="G357" s="16"/>
      <c r="H357" s="8" t="str">
        <f>IF(E357="","",IFERROR(INDEX(食材マスタ!$H$10:$H$309,MATCH(E357,食材マスタ!$C$10:$C$309,0)),""))</f>
        <v/>
      </c>
      <c r="I357" s="15" t="str">
        <f>IF(E357="","",IFERROR(INDEX(食材マスタ!$K$10:$K$309,MATCH(E357,食材マスタ!$C$10:$C$309,0)),""))</f>
        <v/>
      </c>
      <c r="J357" s="15" t="str">
        <f t="shared" si="25"/>
        <v/>
      </c>
      <c r="K357" s="20"/>
      <c r="L357" s="8" t="str">
        <f t="shared" si="26"/>
        <v/>
      </c>
      <c r="M357" s="9"/>
      <c r="N357" s="13" t="str">
        <f t="shared" si="27"/>
        <v/>
      </c>
      <c r="O357" s="22" t="str">
        <f t="shared" ca="1" si="28"/>
        <v/>
      </c>
      <c r="P357" s="17" t="str">
        <f t="shared" si="29"/>
        <v/>
      </c>
      <c r="Q357" s="11"/>
      <c r="R357" s="19"/>
      <c r="S357" s="19"/>
      <c r="U357">
        <f ca="1">IF(AND(ISNUMBER(O357),O357&lt;=設定!$C$4),1,0)</f>
        <v>0</v>
      </c>
      <c r="V357" t="str">
        <f ca="1">IF(U357=1,SUM($U$10:U357),"")</f>
        <v/>
      </c>
    </row>
    <row r="358" spans="2:22">
      <c r="B358" s="8" t="str">
        <f>IF(C358="","",COUNT($C$10:C358))</f>
        <v/>
      </c>
      <c r="C358" s="20"/>
      <c r="D358" s="11"/>
      <c r="E358" s="9"/>
      <c r="F358" s="21" t="str">
        <f>IF(E358="","",IFERROR(INDEX(食材マスタ!$D$10:$D$309,MATCH(E358,食材マスタ!$C$10:$C$309,0)),"※コード未登録"))</f>
        <v/>
      </c>
      <c r="G358" s="16"/>
      <c r="H358" s="8" t="str">
        <f>IF(E358="","",IFERROR(INDEX(食材マスタ!$H$10:$H$309,MATCH(E358,食材マスタ!$C$10:$C$309,0)),""))</f>
        <v/>
      </c>
      <c r="I358" s="15" t="str">
        <f>IF(E358="","",IFERROR(INDEX(食材マスタ!$K$10:$K$309,MATCH(E358,食材マスタ!$C$10:$C$309,0)),""))</f>
        <v/>
      </c>
      <c r="J358" s="15" t="str">
        <f t="shared" si="25"/>
        <v/>
      </c>
      <c r="K358" s="20"/>
      <c r="L358" s="8" t="str">
        <f t="shared" si="26"/>
        <v/>
      </c>
      <c r="M358" s="9"/>
      <c r="N358" s="13" t="str">
        <f t="shared" si="27"/>
        <v/>
      </c>
      <c r="O358" s="22" t="str">
        <f t="shared" ca="1" si="28"/>
        <v/>
      </c>
      <c r="P358" s="17" t="str">
        <f t="shared" si="29"/>
        <v/>
      </c>
      <c r="Q358" s="11"/>
      <c r="R358" s="19"/>
      <c r="S358" s="19"/>
      <c r="U358">
        <f ca="1">IF(AND(ISNUMBER(O358),O358&lt;=設定!$C$4),1,0)</f>
        <v>0</v>
      </c>
      <c r="V358" t="str">
        <f ca="1">IF(U358=1,SUM($U$10:U358),"")</f>
        <v/>
      </c>
    </row>
    <row r="359" spans="2:22">
      <c r="B359" s="8" t="str">
        <f>IF(C359="","",COUNT($C$10:C359))</f>
        <v/>
      </c>
      <c r="C359" s="20"/>
      <c r="D359" s="11"/>
      <c r="E359" s="9"/>
      <c r="F359" s="21" t="str">
        <f>IF(E359="","",IFERROR(INDEX(食材マスタ!$D$10:$D$309,MATCH(E359,食材マスタ!$C$10:$C$309,0)),"※コード未登録"))</f>
        <v/>
      </c>
      <c r="G359" s="16"/>
      <c r="H359" s="8" t="str">
        <f>IF(E359="","",IFERROR(INDEX(食材マスタ!$H$10:$H$309,MATCH(E359,食材マスタ!$C$10:$C$309,0)),""))</f>
        <v/>
      </c>
      <c r="I359" s="15" t="str">
        <f>IF(E359="","",IFERROR(INDEX(食材マスタ!$K$10:$K$309,MATCH(E359,食材マスタ!$C$10:$C$309,0)),""))</f>
        <v/>
      </c>
      <c r="J359" s="15" t="str">
        <f t="shared" si="25"/>
        <v/>
      </c>
      <c r="K359" s="20"/>
      <c r="L359" s="8" t="str">
        <f t="shared" si="26"/>
        <v/>
      </c>
      <c r="M359" s="9"/>
      <c r="N359" s="13" t="str">
        <f t="shared" si="27"/>
        <v/>
      </c>
      <c r="O359" s="22" t="str">
        <f t="shared" ca="1" si="28"/>
        <v/>
      </c>
      <c r="P359" s="17" t="str">
        <f t="shared" si="29"/>
        <v/>
      </c>
      <c r="Q359" s="11"/>
      <c r="R359" s="19"/>
      <c r="S359" s="19"/>
      <c r="U359">
        <f ca="1">IF(AND(ISNUMBER(O359),O359&lt;=設定!$C$4),1,0)</f>
        <v>0</v>
      </c>
      <c r="V359" t="str">
        <f ca="1">IF(U359=1,SUM($U$10:U359),"")</f>
        <v/>
      </c>
    </row>
    <row r="360" spans="2:22">
      <c r="B360" s="8" t="str">
        <f>IF(C360="","",COUNT($C$10:C360))</f>
        <v/>
      </c>
      <c r="C360" s="20"/>
      <c r="D360" s="11"/>
      <c r="E360" s="9"/>
      <c r="F360" s="21" t="str">
        <f>IF(E360="","",IFERROR(INDEX(食材マスタ!$D$10:$D$309,MATCH(E360,食材マスタ!$C$10:$C$309,0)),"※コード未登録"))</f>
        <v/>
      </c>
      <c r="G360" s="16"/>
      <c r="H360" s="8" t="str">
        <f>IF(E360="","",IFERROR(INDEX(食材マスタ!$H$10:$H$309,MATCH(E360,食材マスタ!$C$10:$C$309,0)),""))</f>
        <v/>
      </c>
      <c r="I360" s="15" t="str">
        <f>IF(E360="","",IFERROR(INDEX(食材マスタ!$K$10:$K$309,MATCH(E360,食材マスタ!$C$10:$C$309,0)),""))</f>
        <v/>
      </c>
      <c r="J360" s="15" t="str">
        <f t="shared" si="25"/>
        <v/>
      </c>
      <c r="K360" s="20"/>
      <c r="L360" s="8" t="str">
        <f t="shared" si="26"/>
        <v/>
      </c>
      <c r="M360" s="9"/>
      <c r="N360" s="13" t="str">
        <f t="shared" si="27"/>
        <v/>
      </c>
      <c r="O360" s="22" t="str">
        <f t="shared" ca="1" si="28"/>
        <v/>
      </c>
      <c r="P360" s="17" t="str">
        <f t="shared" si="29"/>
        <v/>
      </c>
      <c r="Q360" s="11"/>
      <c r="R360" s="19"/>
      <c r="S360" s="19"/>
      <c r="U360">
        <f ca="1">IF(AND(ISNUMBER(O360),O360&lt;=設定!$C$4),1,0)</f>
        <v>0</v>
      </c>
      <c r="V360" t="str">
        <f ca="1">IF(U360=1,SUM($U$10:U360),"")</f>
        <v/>
      </c>
    </row>
    <row r="361" spans="2:22">
      <c r="B361" s="8" t="str">
        <f>IF(C361="","",COUNT($C$10:C361))</f>
        <v/>
      </c>
      <c r="C361" s="20"/>
      <c r="D361" s="11"/>
      <c r="E361" s="9"/>
      <c r="F361" s="21" t="str">
        <f>IF(E361="","",IFERROR(INDEX(食材マスタ!$D$10:$D$309,MATCH(E361,食材マスタ!$C$10:$C$309,0)),"※コード未登録"))</f>
        <v/>
      </c>
      <c r="G361" s="16"/>
      <c r="H361" s="8" t="str">
        <f>IF(E361="","",IFERROR(INDEX(食材マスタ!$H$10:$H$309,MATCH(E361,食材マスタ!$C$10:$C$309,0)),""))</f>
        <v/>
      </c>
      <c r="I361" s="15" t="str">
        <f>IF(E361="","",IFERROR(INDEX(食材マスタ!$K$10:$K$309,MATCH(E361,食材マスタ!$C$10:$C$309,0)),""))</f>
        <v/>
      </c>
      <c r="J361" s="15" t="str">
        <f t="shared" si="25"/>
        <v/>
      </c>
      <c r="K361" s="20"/>
      <c r="L361" s="8" t="str">
        <f t="shared" si="26"/>
        <v/>
      </c>
      <c r="M361" s="9"/>
      <c r="N361" s="13" t="str">
        <f t="shared" si="27"/>
        <v/>
      </c>
      <c r="O361" s="22" t="str">
        <f t="shared" ca="1" si="28"/>
        <v/>
      </c>
      <c r="P361" s="17" t="str">
        <f t="shared" si="29"/>
        <v/>
      </c>
      <c r="Q361" s="11"/>
      <c r="R361" s="19"/>
      <c r="S361" s="19"/>
      <c r="U361">
        <f ca="1">IF(AND(ISNUMBER(O361),O361&lt;=設定!$C$4),1,0)</f>
        <v>0</v>
      </c>
      <c r="V361" t="str">
        <f ca="1">IF(U361=1,SUM($U$10:U361),"")</f>
        <v/>
      </c>
    </row>
    <row r="362" spans="2:22">
      <c r="B362" s="8" t="str">
        <f>IF(C362="","",COUNT($C$10:C362))</f>
        <v/>
      </c>
      <c r="C362" s="20"/>
      <c r="D362" s="11"/>
      <c r="E362" s="9"/>
      <c r="F362" s="21" t="str">
        <f>IF(E362="","",IFERROR(INDEX(食材マスタ!$D$10:$D$309,MATCH(E362,食材マスタ!$C$10:$C$309,0)),"※コード未登録"))</f>
        <v/>
      </c>
      <c r="G362" s="16"/>
      <c r="H362" s="8" t="str">
        <f>IF(E362="","",IFERROR(INDEX(食材マスタ!$H$10:$H$309,MATCH(E362,食材マスタ!$C$10:$C$309,0)),""))</f>
        <v/>
      </c>
      <c r="I362" s="15" t="str">
        <f>IF(E362="","",IFERROR(INDEX(食材マスタ!$K$10:$K$309,MATCH(E362,食材マスタ!$C$10:$C$309,0)),""))</f>
        <v/>
      </c>
      <c r="J362" s="15" t="str">
        <f t="shared" si="25"/>
        <v/>
      </c>
      <c r="K362" s="20"/>
      <c r="L362" s="8" t="str">
        <f t="shared" si="26"/>
        <v/>
      </c>
      <c r="M362" s="9"/>
      <c r="N362" s="13" t="str">
        <f t="shared" si="27"/>
        <v/>
      </c>
      <c r="O362" s="22" t="str">
        <f t="shared" ca="1" si="28"/>
        <v/>
      </c>
      <c r="P362" s="17" t="str">
        <f t="shared" si="29"/>
        <v/>
      </c>
      <c r="Q362" s="11"/>
      <c r="R362" s="19"/>
      <c r="S362" s="19"/>
      <c r="U362">
        <f ca="1">IF(AND(ISNUMBER(O362),O362&lt;=設定!$C$4),1,0)</f>
        <v>0</v>
      </c>
      <c r="V362" t="str">
        <f ca="1">IF(U362=1,SUM($U$10:U362),"")</f>
        <v/>
      </c>
    </row>
    <row r="363" spans="2:22">
      <c r="B363" s="8" t="str">
        <f>IF(C363="","",COUNT($C$10:C363))</f>
        <v/>
      </c>
      <c r="C363" s="20"/>
      <c r="D363" s="11"/>
      <c r="E363" s="9"/>
      <c r="F363" s="21" t="str">
        <f>IF(E363="","",IFERROR(INDEX(食材マスタ!$D$10:$D$309,MATCH(E363,食材マスタ!$C$10:$C$309,0)),"※コード未登録"))</f>
        <v/>
      </c>
      <c r="G363" s="16"/>
      <c r="H363" s="8" t="str">
        <f>IF(E363="","",IFERROR(INDEX(食材マスタ!$H$10:$H$309,MATCH(E363,食材マスタ!$C$10:$C$309,0)),""))</f>
        <v/>
      </c>
      <c r="I363" s="15" t="str">
        <f>IF(E363="","",IFERROR(INDEX(食材マスタ!$K$10:$K$309,MATCH(E363,食材マスタ!$C$10:$C$309,0)),""))</f>
        <v/>
      </c>
      <c r="J363" s="15" t="str">
        <f t="shared" si="25"/>
        <v/>
      </c>
      <c r="K363" s="20"/>
      <c r="L363" s="8" t="str">
        <f t="shared" si="26"/>
        <v/>
      </c>
      <c r="M363" s="9"/>
      <c r="N363" s="13" t="str">
        <f t="shared" si="27"/>
        <v/>
      </c>
      <c r="O363" s="22" t="str">
        <f t="shared" ca="1" si="28"/>
        <v/>
      </c>
      <c r="P363" s="17" t="str">
        <f t="shared" si="29"/>
        <v/>
      </c>
      <c r="Q363" s="11"/>
      <c r="R363" s="19"/>
      <c r="S363" s="19"/>
      <c r="U363">
        <f ca="1">IF(AND(ISNUMBER(O363),O363&lt;=設定!$C$4),1,0)</f>
        <v>0</v>
      </c>
      <c r="V363" t="str">
        <f ca="1">IF(U363=1,SUM($U$10:U363),"")</f>
        <v/>
      </c>
    </row>
    <row r="364" spans="2:22">
      <c r="B364" s="8" t="str">
        <f>IF(C364="","",COUNT($C$10:C364))</f>
        <v/>
      </c>
      <c r="C364" s="20"/>
      <c r="D364" s="11"/>
      <c r="E364" s="9"/>
      <c r="F364" s="21" t="str">
        <f>IF(E364="","",IFERROR(INDEX(食材マスタ!$D$10:$D$309,MATCH(E364,食材マスタ!$C$10:$C$309,0)),"※コード未登録"))</f>
        <v/>
      </c>
      <c r="G364" s="16"/>
      <c r="H364" s="8" t="str">
        <f>IF(E364="","",IFERROR(INDEX(食材マスタ!$H$10:$H$309,MATCH(E364,食材マスタ!$C$10:$C$309,0)),""))</f>
        <v/>
      </c>
      <c r="I364" s="15" t="str">
        <f>IF(E364="","",IFERROR(INDEX(食材マスタ!$K$10:$K$309,MATCH(E364,食材マスタ!$C$10:$C$309,0)),""))</f>
        <v/>
      </c>
      <c r="J364" s="15" t="str">
        <f t="shared" si="25"/>
        <v/>
      </c>
      <c r="K364" s="20"/>
      <c r="L364" s="8" t="str">
        <f t="shared" si="26"/>
        <v/>
      </c>
      <c r="M364" s="9"/>
      <c r="N364" s="13" t="str">
        <f t="shared" si="27"/>
        <v/>
      </c>
      <c r="O364" s="22" t="str">
        <f t="shared" ca="1" si="28"/>
        <v/>
      </c>
      <c r="P364" s="17" t="str">
        <f t="shared" si="29"/>
        <v/>
      </c>
      <c r="Q364" s="11"/>
      <c r="R364" s="19"/>
      <c r="S364" s="19"/>
      <c r="U364">
        <f ca="1">IF(AND(ISNUMBER(O364),O364&lt;=設定!$C$4),1,0)</f>
        <v>0</v>
      </c>
      <c r="V364" t="str">
        <f ca="1">IF(U364=1,SUM($U$10:U364),"")</f>
        <v/>
      </c>
    </row>
    <row r="365" spans="2:22">
      <c r="B365" s="8" t="str">
        <f>IF(C365="","",COUNT($C$10:C365))</f>
        <v/>
      </c>
      <c r="C365" s="20"/>
      <c r="D365" s="11"/>
      <c r="E365" s="9"/>
      <c r="F365" s="21" t="str">
        <f>IF(E365="","",IFERROR(INDEX(食材マスタ!$D$10:$D$309,MATCH(E365,食材マスタ!$C$10:$C$309,0)),"※コード未登録"))</f>
        <v/>
      </c>
      <c r="G365" s="16"/>
      <c r="H365" s="8" t="str">
        <f>IF(E365="","",IFERROR(INDEX(食材マスタ!$H$10:$H$309,MATCH(E365,食材マスタ!$C$10:$C$309,0)),""))</f>
        <v/>
      </c>
      <c r="I365" s="15" t="str">
        <f>IF(E365="","",IFERROR(INDEX(食材マスタ!$K$10:$K$309,MATCH(E365,食材マスタ!$C$10:$C$309,0)),""))</f>
        <v/>
      </c>
      <c r="J365" s="15" t="str">
        <f t="shared" si="25"/>
        <v/>
      </c>
      <c r="K365" s="20"/>
      <c r="L365" s="8" t="str">
        <f t="shared" si="26"/>
        <v/>
      </c>
      <c r="M365" s="9"/>
      <c r="N365" s="13" t="str">
        <f t="shared" si="27"/>
        <v/>
      </c>
      <c r="O365" s="22" t="str">
        <f t="shared" ca="1" si="28"/>
        <v/>
      </c>
      <c r="P365" s="17" t="str">
        <f t="shared" si="29"/>
        <v/>
      </c>
      <c r="Q365" s="11"/>
      <c r="R365" s="19"/>
      <c r="S365" s="19"/>
      <c r="U365">
        <f ca="1">IF(AND(ISNUMBER(O365),O365&lt;=設定!$C$4),1,0)</f>
        <v>0</v>
      </c>
      <c r="V365" t="str">
        <f ca="1">IF(U365=1,SUM($U$10:U365),"")</f>
        <v/>
      </c>
    </row>
    <row r="366" spans="2:22">
      <c r="B366" s="8" t="str">
        <f>IF(C366="","",COUNT($C$10:C366))</f>
        <v/>
      </c>
      <c r="C366" s="20"/>
      <c r="D366" s="11"/>
      <c r="E366" s="9"/>
      <c r="F366" s="21" t="str">
        <f>IF(E366="","",IFERROR(INDEX(食材マスタ!$D$10:$D$309,MATCH(E366,食材マスタ!$C$10:$C$309,0)),"※コード未登録"))</f>
        <v/>
      </c>
      <c r="G366" s="16"/>
      <c r="H366" s="8" t="str">
        <f>IF(E366="","",IFERROR(INDEX(食材マスタ!$H$10:$H$309,MATCH(E366,食材マスタ!$C$10:$C$309,0)),""))</f>
        <v/>
      </c>
      <c r="I366" s="15" t="str">
        <f>IF(E366="","",IFERROR(INDEX(食材マスタ!$K$10:$K$309,MATCH(E366,食材マスタ!$C$10:$C$309,0)),""))</f>
        <v/>
      </c>
      <c r="J366" s="15" t="str">
        <f t="shared" si="25"/>
        <v/>
      </c>
      <c r="K366" s="20"/>
      <c r="L366" s="8" t="str">
        <f t="shared" si="26"/>
        <v/>
      </c>
      <c r="M366" s="9"/>
      <c r="N366" s="13" t="str">
        <f t="shared" si="27"/>
        <v/>
      </c>
      <c r="O366" s="22" t="str">
        <f t="shared" ca="1" si="28"/>
        <v/>
      </c>
      <c r="P366" s="17" t="str">
        <f t="shared" si="29"/>
        <v/>
      </c>
      <c r="Q366" s="11"/>
      <c r="R366" s="19"/>
      <c r="S366" s="19"/>
      <c r="U366">
        <f ca="1">IF(AND(ISNUMBER(O366),O366&lt;=設定!$C$4),1,0)</f>
        <v>0</v>
      </c>
      <c r="V366" t="str">
        <f ca="1">IF(U366=1,SUM($U$10:U366),"")</f>
        <v/>
      </c>
    </row>
    <row r="367" spans="2:22">
      <c r="B367" s="8" t="str">
        <f>IF(C367="","",COUNT($C$10:C367))</f>
        <v/>
      </c>
      <c r="C367" s="20"/>
      <c r="D367" s="11"/>
      <c r="E367" s="9"/>
      <c r="F367" s="21" t="str">
        <f>IF(E367="","",IFERROR(INDEX(食材マスタ!$D$10:$D$309,MATCH(E367,食材マスタ!$C$10:$C$309,0)),"※コード未登録"))</f>
        <v/>
      </c>
      <c r="G367" s="16"/>
      <c r="H367" s="8" t="str">
        <f>IF(E367="","",IFERROR(INDEX(食材マスタ!$H$10:$H$309,MATCH(E367,食材マスタ!$C$10:$C$309,0)),""))</f>
        <v/>
      </c>
      <c r="I367" s="15" t="str">
        <f>IF(E367="","",IFERROR(INDEX(食材マスタ!$K$10:$K$309,MATCH(E367,食材マスタ!$C$10:$C$309,0)),""))</f>
        <v/>
      </c>
      <c r="J367" s="15" t="str">
        <f t="shared" si="25"/>
        <v/>
      </c>
      <c r="K367" s="20"/>
      <c r="L367" s="8" t="str">
        <f t="shared" si="26"/>
        <v/>
      </c>
      <c r="M367" s="9"/>
      <c r="N367" s="13" t="str">
        <f t="shared" si="27"/>
        <v/>
      </c>
      <c r="O367" s="22" t="str">
        <f t="shared" ca="1" si="28"/>
        <v/>
      </c>
      <c r="P367" s="17" t="str">
        <f t="shared" si="29"/>
        <v/>
      </c>
      <c r="Q367" s="11"/>
      <c r="R367" s="19"/>
      <c r="S367" s="19"/>
      <c r="U367">
        <f ca="1">IF(AND(ISNUMBER(O367),O367&lt;=設定!$C$4),1,0)</f>
        <v>0</v>
      </c>
      <c r="V367" t="str">
        <f ca="1">IF(U367=1,SUM($U$10:U367),"")</f>
        <v/>
      </c>
    </row>
    <row r="368" spans="2:22">
      <c r="B368" s="8" t="str">
        <f>IF(C368="","",COUNT($C$10:C368))</f>
        <v/>
      </c>
      <c r="C368" s="20"/>
      <c r="D368" s="11"/>
      <c r="E368" s="9"/>
      <c r="F368" s="21" t="str">
        <f>IF(E368="","",IFERROR(INDEX(食材マスタ!$D$10:$D$309,MATCH(E368,食材マスタ!$C$10:$C$309,0)),"※コード未登録"))</f>
        <v/>
      </c>
      <c r="G368" s="16"/>
      <c r="H368" s="8" t="str">
        <f>IF(E368="","",IFERROR(INDEX(食材マスタ!$H$10:$H$309,MATCH(E368,食材マスタ!$C$10:$C$309,0)),""))</f>
        <v/>
      </c>
      <c r="I368" s="15" t="str">
        <f>IF(E368="","",IFERROR(INDEX(食材マスタ!$K$10:$K$309,MATCH(E368,食材マスタ!$C$10:$C$309,0)),""))</f>
        <v/>
      </c>
      <c r="J368" s="15" t="str">
        <f t="shared" si="25"/>
        <v/>
      </c>
      <c r="K368" s="20"/>
      <c r="L368" s="8" t="str">
        <f t="shared" si="26"/>
        <v/>
      </c>
      <c r="M368" s="9"/>
      <c r="N368" s="13" t="str">
        <f t="shared" si="27"/>
        <v/>
      </c>
      <c r="O368" s="22" t="str">
        <f t="shared" ca="1" si="28"/>
        <v/>
      </c>
      <c r="P368" s="17" t="str">
        <f t="shared" si="29"/>
        <v/>
      </c>
      <c r="Q368" s="11"/>
      <c r="R368" s="19"/>
      <c r="S368" s="19"/>
      <c r="U368">
        <f ca="1">IF(AND(ISNUMBER(O368),O368&lt;=設定!$C$4),1,0)</f>
        <v>0</v>
      </c>
      <c r="V368" t="str">
        <f ca="1">IF(U368=1,SUM($U$10:U368),"")</f>
        <v/>
      </c>
    </row>
    <row r="369" spans="2:22">
      <c r="B369" s="8" t="str">
        <f>IF(C369="","",COUNT($C$10:C369))</f>
        <v/>
      </c>
      <c r="C369" s="20"/>
      <c r="D369" s="11"/>
      <c r="E369" s="9"/>
      <c r="F369" s="21" t="str">
        <f>IF(E369="","",IFERROR(INDEX(食材マスタ!$D$10:$D$309,MATCH(E369,食材マスタ!$C$10:$C$309,0)),"※コード未登録"))</f>
        <v/>
      </c>
      <c r="G369" s="16"/>
      <c r="H369" s="8" t="str">
        <f>IF(E369="","",IFERROR(INDEX(食材マスタ!$H$10:$H$309,MATCH(E369,食材マスタ!$C$10:$C$309,0)),""))</f>
        <v/>
      </c>
      <c r="I369" s="15" t="str">
        <f>IF(E369="","",IFERROR(INDEX(食材マスタ!$K$10:$K$309,MATCH(E369,食材マスタ!$C$10:$C$309,0)),""))</f>
        <v/>
      </c>
      <c r="J369" s="15" t="str">
        <f t="shared" si="25"/>
        <v/>
      </c>
      <c r="K369" s="20"/>
      <c r="L369" s="8" t="str">
        <f t="shared" si="26"/>
        <v/>
      </c>
      <c r="M369" s="9"/>
      <c r="N369" s="13" t="str">
        <f t="shared" si="27"/>
        <v/>
      </c>
      <c r="O369" s="22" t="str">
        <f t="shared" ca="1" si="28"/>
        <v/>
      </c>
      <c r="P369" s="17" t="str">
        <f t="shared" si="29"/>
        <v/>
      </c>
      <c r="Q369" s="11"/>
      <c r="R369" s="19"/>
      <c r="S369" s="19"/>
      <c r="U369">
        <f ca="1">IF(AND(ISNUMBER(O369),O369&lt;=設定!$C$4),1,0)</f>
        <v>0</v>
      </c>
      <c r="V369" t="str">
        <f ca="1">IF(U369=1,SUM($U$10:U369),"")</f>
        <v/>
      </c>
    </row>
    <row r="370" spans="2:22">
      <c r="B370" s="8" t="str">
        <f>IF(C370="","",COUNT($C$10:C370))</f>
        <v/>
      </c>
      <c r="C370" s="20"/>
      <c r="D370" s="11"/>
      <c r="E370" s="9"/>
      <c r="F370" s="21" t="str">
        <f>IF(E370="","",IFERROR(INDEX(食材マスタ!$D$10:$D$309,MATCH(E370,食材マスタ!$C$10:$C$309,0)),"※コード未登録"))</f>
        <v/>
      </c>
      <c r="G370" s="16"/>
      <c r="H370" s="8" t="str">
        <f>IF(E370="","",IFERROR(INDEX(食材マスタ!$H$10:$H$309,MATCH(E370,食材マスタ!$C$10:$C$309,0)),""))</f>
        <v/>
      </c>
      <c r="I370" s="15" t="str">
        <f>IF(E370="","",IFERROR(INDEX(食材マスタ!$K$10:$K$309,MATCH(E370,食材マスタ!$C$10:$C$309,0)),""))</f>
        <v/>
      </c>
      <c r="J370" s="15" t="str">
        <f t="shared" si="25"/>
        <v/>
      </c>
      <c r="K370" s="20"/>
      <c r="L370" s="8" t="str">
        <f t="shared" si="26"/>
        <v/>
      </c>
      <c r="M370" s="9"/>
      <c r="N370" s="13" t="str">
        <f t="shared" si="27"/>
        <v/>
      </c>
      <c r="O370" s="22" t="str">
        <f t="shared" ca="1" si="28"/>
        <v/>
      </c>
      <c r="P370" s="17" t="str">
        <f t="shared" si="29"/>
        <v/>
      </c>
      <c r="Q370" s="11"/>
      <c r="R370" s="19"/>
      <c r="S370" s="19"/>
      <c r="U370">
        <f ca="1">IF(AND(ISNUMBER(O370),O370&lt;=設定!$C$4),1,0)</f>
        <v>0</v>
      </c>
      <c r="V370" t="str">
        <f ca="1">IF(U370=1,SUM($U$10:U370),"")</f>
        <v/>
      </c>
    </row>
    <row r="371" spans="2:22">
      <c r="B371" s="8" t="str">
        <f>IF(C371="","",COUNT($C$10:C371))</f>
        <v/>
      </c>
      <c r="C371" s="20"/>
      <c r="D371" s="11"/>
      <c r="E371" s="9"/>
      <c r="F371" s="21" t="str">
        <f>IF(E371="","",IFERROR(INDEX(食材マスタ!$D$10:$D$309,MATCH(E371,食材マスタ!$C$10:$C$309,0)),"※コード未登録"))</f>
        <v/>
      </c>
      <c r="G371" s="16"/>
      <c r="H371" s="8" t="str">
        <f>IF(E371="","",IFERROR(INDEX(食材マスタ!$H$10:$H$309,MATCH(E371,食材マスタ!$C$10:$C$309,0)),""))</f>
        <v/>
      </c>
      <c r="I371" s="15" t="str">
        <f>IF(E371="","",IFERROR(INDEX(食材マスタ!$K$10:$K$309,MATCH(E371,食材マスタ!$C$10:$C$309,0)),""))</f>
        <v/>
      </c>
      <c r="J371" s="15" t="str">
        <f t="shared" si="25"/>
        <v/>
      </c>
      <c r="K371" s="20"/>
      <c r="L371" s="8" t="str">
        <f t="shared" si="26"/>
        <v/>
      </c>
      <c r="M371" s="9"/>
      <c r="N371" s="13" t="str">
        <f t="shared" si="27"/>
        <v/>
      </c>
      <c r="O371" s="22" t="str">
        <f t="shared" ca="1" si="28"/>
        <v/>
      </c>
      <c r="P371" s="17" t="str">
        <f t="shared" si="29"/>
        <v/>
      </c>
      <c r="Q371" s="11"/>
      <c r="R371" s="19"/>
      <c r="S371" s="19"/>
      <c r="U371">
        <f ca="1">IF(AND(ISNUMBER(O371),O371&lt;=設定!$C$4),1,0)</f>
        <v>0</v>
      </c>
      <c r="V371" t="str">
        <f ca="1">IF(U371=1,SUM($U$10:U371),"")</f>
        <v/>
      </c>
    </row>
    <row r="372" spans="2:22">
      <c r="B372" s="8" t="str">
        <f>IF(C372="","",COUNT($C$10:C372))</f>
        <v/>
      </c>
      <c r="C372" s="20"/>
      <c r="D372" s="11"/>
      <c r="E372" s="9"/>
      <c r="F372" s="21" t="str">
        <f>IF(E372="","",IFERROR(INDEX(食材マスタ!$D$10:$D$309,MATCH(E372,食材マスタ!$C$10:$C$309,0)),"※コード未登録"))</f>
        <v/>
      </c>
      <c r="G372" s="16"/>
      <c r="H372" s="8" t="str">
        <f>IF(E372="","",IFERROR(INDEX(食材マスタ!$H$10:$H$309,MATCH(E372,食材マスタ!$C$10:$C$309,0)),""))</f>
        <v/>
      </c>
      <c r="I372" s="15" t="str">
        <f>IF(E372="","",IFERROR(INDEX(食材マスタ!$K$10:$K$309,MATCH(E372,食材マスタ!$C$10:$C$309,0)),""))</f>
        <v/>
      </c>
      <c r="J372" s="15" t="str">
        <f t="shared" si="25"/>
        <v/>
      </c>
      <c r="K372" s="20"/>
      <c r="L372" s="8" t="str">
        <f t="shared" si="26"/>
        <v/>
      </c>
      <c r="M372" s="9"/>
      <c r="N372" s="13" t="str">
        <f t="shared" si="27"/>
        <v/>
      </c>
      <c r="O372" s="22" t="str">
        <f t="shared" ca="1" si="28"/>
        <v/>
      </c>
      <c r="P372" s="17" t="str">
        <f t="shared" si="29"/>
        <v/>
      </c>
      <c r="Q372" s="11"/>
      <c r="R372" s="19"/>
      <c r="S372" s="19"/>
      <c r="U372">
        <f ca="1">IF(AND(ISNUMBER(O372),O372&lt;=設定!$C$4),1,0)</f>
        <v>0</v>
      </c>
      <c r="V372" t="str">
        <f ca="1">IF(U372=1,SUM($U$10:U372),"")</f>
        <v/>
      </c>
    </row>
    <row r="373" spans="2:22">
      <c r="B373" s="8" t="str">
        <f>IF(C373="","",COUNT($C$10:C373))</f>
        <v/>
      </c>
      <c r="C373" s="20"/>
      <c r="D373" s="11"/>
      <c r="E373" s="9"/>
      <c r="F373" s="21" t="str">
        <f>IF(E373="","",IFERROR(INDEX(食材マスタ!$D$10:$D$309,MATCH(E373,食材マスタ!$C$10:$C$309,0)),"※コード未登録"))</f>
        <v/>
      </c>
      <c r="G373" s="16"/>
      <c r="H373" s="8" t="str">
        <f>IF(E373="","",IFERROR(INDEX(食材マスタ!$H$10:$H$309,MATCH(E373,食材マスタ!$C$10:$C$309,0)),""))</f>
        <v/>
      </c>
      <c r="I373" s="15" t="str">
        <f>IF(E373="","",IFERROR(INDEX(食材マスタ!$K$10:$K$309,MATCH(E373,食材マスタ!$C$10:$C$309,0)),""))</f>
        <v/>
      </c>
      <c r="J373" s="15" t="str">
        <f t="shared" si="25"/>
        <v/>
      </c>
      <c r="K373" s="20"/>
      <c r="L373" s="8" t="str">
        <f t="shared" si="26"/>
        <v/>
      </c>
      <c r="M373" s="9"/>
      <c r="N373" s="13" t="str">
        <f t="shared" si="27"/>
        <v/>
      </c>
      <c r="O373" s="22" t="str">
        <f t="shared" ca="1" si="28"/>
        <v/>
      </c>
      <c r="P373" s="17" t="str">
        <f t="shared" si="29"/>
        <v/>
      </c>
      <c r="Q373" s="11"/>
      <c r="R373" s="19"/>
      <c r="S373" s="19"/>
      <c r="U373">
        <f ca="1">IF(AND(ISNUMBER(O373),O373&lt;=設定!$C$4),1,0)</f>
        <v>0</v>
      </c>
      <c r="V373" t="str">
        <f ca="1">IF(U373=1,SUM($U$10:U373),"")</f>
        <v/>
      </c>
    </row>
    <row r="374" spans="2:22">
      <c r="B374" s="8" t="str">
        <f>IF(C374="","",COUNT($C$10:C374))</f>
        <v/>
      </c>
      <c r="C374" s="20"/>
      <c r="D374" s="11"/>
      <c r="E374" s="9"/>
      <c r="F374" s="21" t="str">
        <f>IF(E374="","",IFERROR(INDEX(食材マスタ!$D$10:$D$309,MATCH(E374,食材マスタ!$C$10:$C$309,0)),"※コード未登録"))</f>
        <v/>
      </c>
      <c r="G374" s="16"/>
      <c r="H374" s="8" t="str">
        <f>IF(E374="","",IFERROR(INDEX(食材マスタ!$H$10:$H$309,MATCH(E374,食材マスタ!$C$10:$C$309,0)),""))</f>
        <v/>
      </c>
      <c r="I374" s="15" t="str">
        <f>IF(E374="","",IFERROR(INDEX(食材マスタ!$K$10:$K$309,MATCH(E374,食材マスタ!$C$10:$C$309,0)),""))</f>
        <v/>
      </c>
      <c r="J374" s="15" t="str">
        <f t="shared" si="25"/>
        <v/>
      </c>
      <c r="K374" s="20"/>
      <c r="L374" s="8" t="str">
        <f t="shared" si="26"/>
        <v/>
      </c>
      <c r="M374" s="9"/>
      <c r="N374" s="13" t="str">
        <f t="shared" si="27"/>
        <v/>
      </c>
      <c r="O374" s="22" t="str">
        <f t="shared" ca="1" si="28"/>
        <v/>
      </c>
      <c r="P374" s="17" t="str">
        <f t="shared" si="29"/>
        <v/>
      </c>
      <c r="Q374" s="11"/>
      <c r="R374" s="19"/>
      <c r="S374" s="19"/>
      <c r="U374">
        <f ca="1">IF(AND(ISNUMBER(O374),O374&lt;=設定!$C$4),1,0)</f>
        <v>0</v>
      </c>
      <c r="V374" t="str">
        <f ca="1">IF(U374=1,SUM($U$10:U374),"")</f>
        <v/>
      </c>
    </row>
    <row r="375" spans="2:22">
      <c r="B375" s="8" t="str">
        <f>IF(C375="","",COUNT($C$10:C375))</f>
        <v/>
      </c>
      <c r="C375" s="20"/>
      <c r="D375" s="11"/>
      <c r="E375" s="9"/>
      <c r="F375" s="21" t="str">
        <f>IF(E375="","",IFERROR(INDEX(食材マスタ!$D$10:$D$309,MATCH(E375,食材マスタ!$C$10:$C$309,0)),"※コード未登録"))</f>
        <v/>
      </c>
      <c r="G375" s="16"/>
      <c r="H375" s="8" t="str">
        <f>IF(E375="","",IFERROR(INDEX(食材マスタ!$H$10:$H$309,MATCH(E375,食材マスタ!$C$10:$C$309,0)),""))</f>
        <v/>
      </c>
      <c r="I375" s="15" t="str">
        <f>IF(E375="","",IFERROR(INDEX(食材マスタ!$K$10:$K$309,MATCH(E375,食材マスタ!$C$10:$C$309,0)),""))</f>
        <v/>
      </c>
      <c r="J375" s="15" t="str">
        <f t="shared" si="25"/>
        <v/>
      </c>
      <c r="K375" s="20"/>
      <c r="L375" s="8" t="str">
        <f t="shared" si="26"/>
        <v/>
      </c>
      <c r="M375" s="9"/>
      <c r="N375" s="13" t="str">
        <f t="shared" si="27"/>
        <v/>
      </c>
      <c r="O375" s="22" t="str">
        <f t="shared" ca="1" si="28"/>
        <v/>
      </c>
      <c r="P375" s="17" t="str">
        <f t="shared" si="29"/>
        <v/>
      </c>
      <c r="Q375" s="11"/>
      <c r="R375" s="19"/>
      <c r="S375" s="19"/>
      <c r="U375">
        <f ca="1">IF(AND(ISNUMBER(O375),O375&lt;=設定!$C$4),1,0)</f>
        <v>0</v>
      </c>
      <c r="V375" t="str">
        <f ca="1">IF(U375=1,SUM($U$10:U375),"")</f>
        <v/>
      </c>
    </row>
    <row r="376" spans="2:22">
      <c r="B376" s="8" t="str">
        <f>IF(C376="","",COUNT($C$10:C376))</f>
        <v/>
      </c>
      <c r="C376" s="20"/>
      <c r="D376" s="11"/>
      <c r="E376" s="9"/>
      <c r="F376" s="21" t="str">
        <f>IF(E376="","",IFERROR(INDEX(食材マスタ!$D$10:$D$309,MATCH(E376,食材マスタ!$C$10:$C$309,0)),"※コード未登録"))</f>
        <v/>
      </c>
      <c r="G376" s="16"/>
      <c r="H376" s="8" t="str">
        <f>IF(E376="","",IFERROR(INDEX(食材マスタ!$H$10:$H$309,MATCH(E376,食材マスタ!$C$10:$C$309,0)),""))</f>
        <v/>
      </c>
      <c r="I376" s="15" t="str">
        <f>IF(E376="","",IFERROR(INDEX(食材マスタ!$K$10:$K$309,MATCH(E376,食材マスタ!$C$10:$C$309,0)),""))</f>
        <v/>
      </c>
      <c r="J376" s="15" t="str">
        <f t="shared" si="25"/>
        <v/>
      </c>
      <c r="K376" s="20"/>
      <c r="L376" s="8" t="str">
        <f t="shared" si="26"/>
        <v/>
      </c>
      <c r="M376" s="9"/>
      <c r="N376" s="13" t="str">
        <f t="shared" si="27"/>
        <v/>
      </c>
      <c r="O376" s="22" t="str">
        <f t="shared" ca="1" si="28"/>
        <v/>
      </c>
      <c r="P376" s="17" t="str">
        <f t="shared" si="29"/>
        <v/>
      </c>
      <c r="Q376" s="11"/>
      <c r="R376" s="19"/>
      <c r="S376" s="19"/>
      <c r="U376">
        <f ca="1">IF(AND(ISNUMBER(O376),O376&lt;=設定!$C$4),1,0)</f>
        <v>0</v>
      </c>
      <c r="V376" t="str">
        <f ca="1">IF(U376=1,SUM($U$10:U376),"")</f>
        <v/>
      </c>
    </row>
    <row r="377" spans="2:22">
      <c r="B377" s="8" t="str">
        <f>IF(C377="","",COUNT($C$10:C377))</f>
        <v/>
      </c>
      <c r="C377" s="20"/>
      <c r="D377" s="11"/>
      <c r="E377" s="9"/>
      <c r="F377" s="21" t="str">
        <f>IF(E377="","",IFERROR(INDEX(食材マスタ!$D$10:$D$309,MATCH(E377,食材マスタ!$C$10:$C$309,0)),"※コード未登録"))</f>
        <v/>
      </c>
      <c r="G377" s="16"/>
      <c r="H377" s="8" t="str">
        <f>IF(E377="","",IFERROR(INDEX(食材マスタ!$H$10:$H$309,MATCH(E377,食材マスタ!$C$10:$C$309,0)),""))</f>
        <v/>
      </c>
      <c r="I377" s="15" t="str">
        <f>IF(E377="","",IFERROR(INDEX(食材マスタ!$K$10:$K$309,MATCH(E377,食材マスタ!$C$10:$C$309,0)),""))</f>
        <v/>
      </c>
      <c r="J377" s="15" t="str">
        <f t="shared" si="25"/>
        <v/>
      </c>
      <c r="K377" s="20"/>
      <c r="L377" s="8" t="str">
        <f t="shared" si="26"/>
        <v/>
      </c>
      <c r="M377" s="9"/>
      <c r="N377" s="13" t="str">
        <f t="shared" si="27"/>
        <v/>
      </c>
      <c r="O377" s="22" t="str">
        <f t="shared" ca="1" si="28"/>
        <v/>
      </c>
      <c r="P377" s="17" t="str">
        <f t="shared" si="29"/>
        <v/>
      </c>
      <c r="Q377" s="11"/>
      <c r="R377" s="19"/>
      <c r="S377" s="19"/>
      <c r="U377">
        <f ca="1">IF(AND(ISNUMBER(O377),O377&lt;=設定!$C$4),1,0)</f>
        <v>0</v>
      </c>
      <c r="V377" t="str">
        <f ca="1">IF(U377=1,SUM($U$10:U377),"")</f>
        <v/>
      </c>
    </row>
    <row r="378" spans="2:22">
      <c r="B378" s="8" t="str">
        <f>IF(C378="","",COUNT($C$10:C378))</f>
        <v/>
      </c>
      <c r="C378" s="20"/>
      <c r="D378" s="11"/>
      <c r="E378" s="9"/>
      <c r="F378" s="21" t="str">
        <f>IF(E378="","",IFERROR(INDEX(食材マスタ!$D$10:$D$309,MATCH(E378,食材マスタ!$C$10:$C$309,0)),"※コード未登録"))</f>
        <v/>
      </c>
      <c r="G378" s="16"/>
      <c r="H378" s="8" t="str">
        <f>IF(E378="","",IFERROR(INDEX(食材マスタ!$H$10:$H$309,MATCH(E378,食材マスタ!$C$10:$C$309,0)),""))</f>
        <v/>
      </c>
      <c r="I378" s="15" t="str">
        <f>IF(E378="","",IFERROR(INDEX(食材マスタ!$K$10:$K$309,MATCH(E378,食材マスタ!$C$10:$C$309,0)),""))</f>
        <v/>
      </c>
      <c r="J378" s="15" t="str">
        <f t="shared" si="25"/>
        <v/>
      </c>
      <c r="K378" s="20"/>
      <c r="L378" s="8" t="str">
        <f t="shared" si="26"/>
        <v/>
      </c>
      <c r="M378" s="9"/>
      <c r="N378" s="13" t="str">
        <f t="shared" si="27"/>
        <v/>
      </c>
      <c r="O378" s="22" t="str">
        <f t="shared" ca="1" si="28"/>
        <v/>
      </c>
      <c r="P378" s="17" t="str">
        <f t="shared" si="29"/>
        <v/>
      </c>
      <c r="Q378" s="11"/>
      <c r="R378" s="19"/>
      <c r="S378" s="19"/>
      <c r="U378">
        <f ca="1">IF(AND(ISNUMBER(O378),O378&lt;=設定!$C$4),1,0)</f>
        <v>0</v>
      </c>
      <c r="V378" t="str">
        <f ca="1">IF(U378=1,SUM($U$10:U378),"")</f>
        <v/>
      </c>
    </row>
    <row r="379" spans="2:22">
      <c r="B379" s="8" t="str">
        <f>IF(C379="","",COUNT($C$10:C379))</f>
        <v/>
      </c>
      <c r="C379" s="20"/>
      <c r="D379" s="11"/>
      <c r="E379" s="9"/>
      <c r="F379" s="21" t="str">
        <f>IF(E379="","",IFERROR(INDEX(食材マスタ!$D$10:$D$309,MATCH(E379,食材マスタ!$C$10:$C$309,0)),"※コード未登録"))</f>
        <v/>
      </c>
      <c r="G379" s="16"/>
      <c r="H379" s="8" t="str">
        <f>IF(E379="","",IFERROR(INDEX(食材マスタ!$H$10:$H$309,MATCH(E379,食材マスタ!$C$10:$C$309,0)),""))</f>
        <v/>
      </c>
      <c r="I379" s="15" t="str">
        <f>IF(E379="","",IFERROR(INDEX(食材マスタ!$K$10:$K$309,MATCH(E379,食材マスタ!$C$10:$C$309,0)),""))</f>
        <v/>
      </c>
      <c r="J379" s="15" t="str">
        <f t="shared" si="25"/>
        <v/>
      </c>
      <c r="K379" s="20"/>
      <c r="L379" s="8" t="str">
        <f t="shared" si="26"/>
        <v/>
      </c>
      <c r="M379" s="9"/>
      <c r="N379" s="13" t="str">
        <f t="shared" si="27"/>
        <v/>
      </c>
      <c r="O379" s="22" t="str">
        <f t="shared" ca="1" si="28"/>
        <v/>
      </c>
      <c r="P379" s="17" t="str">
        <f t="shared" si="29"/>
        <v/>
      </c>
      <c r="Q379" s="11"/>
      <c r="R379" s="19"/>
      <c r="S379" s="19"/>
      <c r="U379">
        <f ca="1">IF(AND(ISNUMBER(O379),O379&lt;=設定!$C$4),1,0)</f>
        <v>0</v>
      </c>
      <c r="V379" t="str">
        <f ca="1">IF(U379=1,SUM($U$10:U379),"")</f>
        <v/>
      </c>
    </row>
    <row r="380" spans="2:22">
      <c r="B380" s="8" t="str">
        <f>IF(C380="","",COUNT($C$10:C380))</f>
        <v/>
      </c>
      <c r="C380" s="20"/>
      <c r="D380" s="11"/>
      <c r="E380" s="9"/>
      <c r="F380" s="21" t="str">
        <f>IF(E380="","",IFERROR(INDEX(食材マスタ!$D$10:$D$309,MATCH(E380,食材マスタ!$C$10:$C$309,0)),"※コード未登録"))</f>
        <v/>
      </c>
      <c r="G380" s="16"/>
      <c r="H380" s="8" t="str">
        <f>IF(E380="","",IFERROR(INDEX(食材マスタ!$H$10:$H$309,MATCH(E380,食材マスタ!$C$10:$C$309,0)),""))</f>
        <v/>
      </c>
      <c r="I380" s="15" t="str">
        <f>IF(E380="","",IFERROR(INDEX(食材マスタ!$K$10:$K$309,MATCH(E380,食材マスタ!$C$10:$C$309,0)),""))</f>
        <v/>
      </c>
      <c r="J380" s="15" t="str">
        <f t="shared" si="25"/>
        <v/>
      </c>
      <c r="K380" s="20"/>
      <c r="L380" s="8" t="str">
        <f t="shared" si="26"/>
        <v/>
      </c>
      <c r="M380" s="9"/>
      <c r="N380" s="13" t="str">
        <f t="shared" si="27"/>
        <v/>
      </c>
      <c r="O380" s="22" t="str">
        <f t="shared" ca="1" si="28"/>
        <v/>
      </c>
      <c r="P380" s="17" t="str">
        <f t="shared" si="29"/>
        <v/>
      </c>
      <c r="Q380" s="11"/>
      <c r="R380" s="19"/>
      <c r="S380" s="19"/>
      <c r="U380">
        <f ca="1">IF(AND(ISNUMBER(O380),O380&lt;=設定!$C$4),1,0)</f>
        <v>0</v>
      </c>
      <c r="V380" t="str">
        <f ca="1">IF(U380=1,SUM($U$10:U380),"")</f>
        <v/>
      </c>
    </row>
    <row r="381" spans="2:22">
      <c r="B381" s="8" t="str">
        <f>IF(C381="","",COUNT($C$10:C381))</f>
        <v/>
      </c>
      <c r="C381" s="20"/>
      <c r="D381" s="11"/>
      <c r="E381" s="9"/>
      <c r="F381" s="21" t="str">
        <f>IF(E381="","",IFERROR(INDEX(食材マスタ!$D$10:$D$309,MATCH(E381,食材マスタ!$C$10:$C$309,0)),"※コード未登録"))</f>
        <v/>
      </c>
      <c r="G381" s="16"/>
      <c r="H381" s="8" t="str">
        <f>IF(E381="","",IFERROR(INDEX(食材マスタ!$H$10:$H$309,MATCH(E381,食材マスタ!$C$10:$C$309,0)),""))</f>
        <v/>
      </c>
      <c r="I381" s="15" t="str">
        <f>IF(E381="","",IFERROR(INDEX(食材マスタ!$K$10:$K$309,MATCH(E381,食材マスタ!$C$10:$C$309,0)),""))</f>
        <v/>
      </c>
      <c r="J381" s="15" t="str">
        <f t="shared" si="25"/>
        <v/>
      </c>
      <c r="K381" s="20"/>
      <c r="L381" s="8" t="str">
        <f t="shared" si="26"/>
        <v/>
      </c>
      <c r="M381" s="9"/>
      <c r="N381" s="13" t="str">
        <f t="shared" si="27"/>
        <v/>
      </c>
      <c r="O381" s="22" t="str">
        <f t="shared" ca="1" si="28"/>
        <v/>
      </c>
      <c r="P381" s="17" t="str">
        <f t="shared" si="29"/>
        <v/>
      </c>
      <c r="Q381" s="11"/>
      <c r="R381" s="19"/>
      <c r="S381" s="19"/>
      <c r="U381">
        <f ca="1">IF(AND(ISNUMBER(O381),O381&lt;=設定!$C$4),1,0)</f>
        <v>0</v>
      </c>
      <c r="V381" t="str">
        <f ca="1">IF(U381=1,SUM($U$10:U381),"")</f>
        <v/>
      </c>
    </row>
    <row r="382" spans="2:22">
      <c r="B382" s="8" t="str">
        <f>IF(C382="","",COUNT($C$10:C382))</f>
        <v/>
      </c>
      <c r="C382" s="20"/>
      <c r="D382" s="11"/>
      <c r="E382" s="9"/>
      <c r="F382" s="21" t="str">
        <f>IF(E382="","",IFERROR(INDEX(食材マスタ!$D$10:$D$309,MATCH(E382,食材マスタ!$C$10:$C$309,0)),"※コード未登録"))</f>
        <v/>
      </c>
      <c r="G382" s="16"/>
      <c r="H382" s="8" t="str">
        <f>IF(E382="","",IFERROR(INDEX(食材マスタ!$H$10:$H$309,MATCH(E382,食材マスタ!$C$10:$C$309,0)),""))</f>
        <v/>
      </c>
      <c r="I382" s="15" t="str">
        <f>IF(E382="","",IFERROR(INDEX(食材マスタ!$K$10:$K$309,MATCH(E382,食材マスタ!$C$10:$C$309,0)),""))</f>
        <v/>
      </c>
      <c r="J382" s="15" t="str">
        <f t="shared" si="25"/>
        <v/>
      </c>
      <c r="K382" s="20"/>
      <c r="L382" s="8" t="str">
        <f t="shared" si="26"/>
        <v/>
      </c>
      <c r="M382" s="9"/>
      <c r="N382" s="13" t="str">
        <f t="shared" si="27"/>
        <v/>
      </c>
      <c r="O382" s="22" t="str">
        <f t="shared" ca="1" si="28"/>
        <v/>
      </c>
      <c r="P382" s="17" t="str">
        <f t="shared" si="29"/>
        <v/>
      </c>
      <c r="Q382" s="11"/>
      <c r="R382" s="19"/>
      <c r="S382" s="19"/>
      <c r="U382">
        <f ca="1">IF(AND(ISNUMBER(O382),O382&lt;=設定!$C$4),1,0)</f>
        <v>0</v>
      </c>
      <c r="V382" t="str">
        <f ca="1">IF(U382=1,SUM($U$10:U382),"")</f>
        <v/>
      </c>
    </row>
    <row r="383" spans="2:22">
      <c r="B383" s="8" t="str">
        <f>IF(C383="","",COUNT($C$10:C383))</f>
        <v/>
      </c>
      <c r="C383" s="20"/>
      <c r="D383" s="11"/>
      <c r="E383" s="9"/>
      <c r="F383" s="21" t="str">
        <f>IF(E383="","",IFERROR(INDEX(食材マスタ!$D$10:$D$309,MATCH(E383,食材マスタ!$C$10:$C$309,0)),"※コード未登録"))</f>
        <v/>
      </c>
      <c r="G383" s="16"/>
      <c r="H383" s="8" t="str">
        <f>IF(E383="","",IFERROR(INDEX(食材マスタ!$H$10:$H$309,MATCH(E383,食材マスタ!$C$10:$C$309,0)),""))</f>
        <v/>
      </c>
      <c r="I383" s="15" t="str">
        <f>IF(E383="","",IFERROR(INDEX(食材マスタ!$K$10:$K$309,MATCH(E383,食材マスタ!$C$10:$C$309,0)),""))</f>
        <v/>
      </c>
      <c r="J383" s="15" t="str">
        <f t="shared" si="25"/>
        <v/>
      </c>
      <c r="K383" s="20"/>
      <c r="L383" s="8" t="str">
        <f t="shared" si="26"/>
        <v/>
      </c>
      <c r="M383" s="9"/>
      <c r="N383" s="13" t="str">
        <f t="shared" si="27"/>
        <v/>
      </c>
      <c r="O383" s="22" t="str">
        <f t="shared" ca="1" si="28"/>
        <v/>
      </c>
      <c r="P383" s="17" t="str">
        <f t="shared" si="29"/>
        <v/>
      </c>
      <c r="Q383" s="11"/>
      <c r="R383" s="19"/>
      <c r="S383" s="19"/>
      <c r="U383">
        <f ca="1">IF(AND(ISNUMBER(O383),O383&lt;=設定!$C$4),1,0)</f>
        <v>0</v>
      </c>
      <c r="V383" t="str">
        <f ca="1">IF(U383=1,SUM($U$10:U383),"")</f>
        <v/>
      </c>
    </row>
    <row r="384" spans="2:22">
      <c r="B384" s="8" t="str">
        <f>IF(C384="","",COUNT($C$10:C384))</f>
        <v/>
      </c>
      <c r="C384" s="20"/>
      <c r="D384" s="11"/>
      <c r="E384" s="9"/>
      <c r="F384" s="21" t="str">
        <f>IF(E384="","",IFERROR(INDEX(食材マスタ!$D$10:$D$309,MATCH(E384,食材マスタ!$C$10:$C$309,0)),"※コード未登録"))</f>
        <v/>
      </c>
      <c r="G384" s="16"/>
      <c r="H384" s="8" t="str">
        <f>IF(E384="","",IFERROR(INDEX(食材マスタ!$H$10:$H$309,MATCH(E384,食材マスタ!$C$10:$C$309,0)),""))</f>
        <v/>
      </c>
      <c r="I384" s="15" t="str">
        <f>IF(E384="","",IFERROR(INDEX(食材マスタ!$K$10:$K$309,MATCH(E384,食材マスタ!$C$10:$C$309,0)),""))</f>
        <v/>
      </c>
      <c r="J384" s="15" t="str">
        <f t="shared" si="25"/>
        <v/>
      </c>
      <c r="K384" s="20"/>
      <c r="L384" s="8" t="str">
        <f t="shared" si="26"/>
        <v/>
      </c>
      <c r="M384" s="9"/>
      <c r="N384" s="13" t="str">
        <f t="shared" si="27"/>
        <v/>
      </c>
      <c r="O384" s="22" t="str">
        <f t="shared" ca="1" si="28"/>
        <v/>
      </c>
      <c r="P384" s="17" t="str">
        <f t="shared" si="29"/>
        <v/>
      </c>
      <c r="Q384" s="11"/>
      <c r="R384" s="19"/>
      <c r="S384" s="19"/>
      <c r="U384">
        <f ca="1">IF(AND(ISNUMBER(O384),O384&lt;=設定!$C$4),1,0)</f>
        <v>0</v>
      </c>
      <c r="V384" t="str">
        <f ca="1">IF(U384=1,SUM($U$10:U384),"")</f>
        <v/>
      </c>
    </row>
    <row r="385" spans="2:22">
      <c r="B385" s="8" t="str">
        <f>IF(C385="","",COUNT($C$10:C385))</f>
        <v/>
      </c>
      <c r="C385" s="20"/>
      <c r="D385" s="11"/>
      <c r="E385" s="9"/>
      <c r="F385" s="21" t="str">
        <f>IF(E385="","",IFERROR(INDEX(食材マスタ!$D$10:$D$309,MATCH(E385,食材マスタ!$C$10:$C$309,0)),"※コード未登録"))</f>
        <v/>
      </c>
      <c r="G385" s="16"/>
      <c r="H385" s="8" t="str">
        <f>IF(E385="","",IFERROR(INDEX(食材マスタ!$H$10:$H$309,MATCH(E385,食材マスタ!$C$10:$C$309,0)),""))</f>
        <v/>
      </c>
      <c r="I385" s="15" t="str">
        <f>IF(E385="","",IFERROR(INDEX(食材マスタ!$K$10:$K$309,MATCH(E385,食材マスタ!$C$10:$C$309,0)),""))</f>
        <v/>
      </c>
      <c r="J385" s="15" t="str">
        <f t="shared" si="25"/>
        <v/>
      </c>
      <c r="K385" s="20"/>
      <c r="L385" s="8" t="str">
        <f t="shared" si="26"/>
        <v/>
      </c>
      <c r="M385" s="9"/>
      <c r="N385" s="13" t="str">
        <f t="shared" si="27"/>
        <v/>
      </c>
      <c r="O385" s="22" t="str">
        <f t="shared" ca="1" si="28"/>
        <v/>
      </c>
      <c r="P385" s="17" t="str">
        <f t="shared" si="29"/>
        <v/>
      </c>
      <c r="Q385" s="11"/>
      <c r="R385" s="19"/>
      <c r="S385" s="19"/>
      <c r="U385">
        <f ca="1">IF(AND(ISNUMBER(O385),O385&lt;=設定!$C$4),1,0)</f>
        <v>0</v>
      </c>
      <c r="V385" t="str">
        <f ca="1">IF(U385=1,SUM($U$10:U385),"")</f>
        <v/>
      </c>
    </row>
    <row r="386" spans="2:22">
      <c r="B386" s="8" t="str">
        <f>IF(C386="","",COUNT($C$10:C386))</f>
        <v/>
      </c>
      <c r="C386" s="20"/>
      <c r="D386" s="11"/>
      <c r="E386" s="9"/>
      <c r="F386" s="21" t="str">
        <f>IF(E386="","",IFERROR(INDEX(食材マスタ!$D$10:$D$309,MATCH(E386,食材マスタ!$C$10:$C$309,0)),"※コード未登録"))</f>
        <v/>
      </c>
      <c r="G386" s="16"/>
      <c r="H386" s="8" t="str">
        <f>IF(E386="","",IFERROR(INDEX(食材マスタ!$H$10:$H$309,MATCH(E386,食材マスタ!$C$10:$C$309,0)),""))</f>
        <v/>
      </c>
      <c r="I386" s="15" t="str">
        <f>IF(E386="","",IFERROR(INDEX(食材マスタ!$K$10:$K$309,MATCH(E386,食材マスタ!$C$10:$C$309,0)),""))</f>
        <v/>
      </c>
      <c r="J386" s="15" t="str">
        <f t="shared" si="25"/>
        <v/>
      </c>
      <c r="K386" s="20"/>
      <c r="L386" s="8" t="str">
        <f t="shared" si="26"/>
        <v/>
      </c>
      <c r="M386" s="9"/>
      <c r="N386" s="13" t="str">
        <f t="shared" si="27"/>
        <v/>
      </c>
      <c r="O386" s="22" t="str">
        <f t="shared" ca="1" si="28"/>
        <v/>
      </c>
      <c r="P386" s="17" t="str">
        <f t="shared" si="29"/>
        <v/>
      </c>
      <c r="Q386" s="11"/>
      <c r="R386" s="19"/>
      <c r="S386" s="19"/>
      <c r="U386">
        <f ca="1">IF(AND(ISNUMBER(O386),O386&lt;=設定!$C$4),1,0)</f>
        <v>0</v>
      </c>
      <c r="V386" t="str">
        <f ca="1">IF(U386=1,SUM($U$10:U386),"")</f>
        <v/>
      </c>
    </row>
    <row r="387" spans="2:22">
      <c r="B387" s="8" t="str">
        <f>IF(C387="","",COUNT($C$10:C387))</f>
        <v/>
      </c>
      <c r="C387" s="20"/>
      <c r="D387" s="11"/>
      <c r="E387" s="9"/>
      <c r="F387" s="21" t="str">
        <f>IF(E387="","",IFERROR(INDEX(食材マスタ!$D$10:$D$309,MATCH(E387,食材マスタ!$C$10:$C$309,0)),"※コード未登録"))</f>
        <v/>
      </c>
      <c r="G387" s="16"/>
      <c r="H387" s="8" t="str">
        <f>IF(E387="","",IFERROR(INDEX(食材マスタ!$H$10:$H$309,MATCH(E387,食材マスタ!$C$10:$C$309,0)),""))</f>
        <v/>
      </c>
      <c r="I387" s="15" t="str">
        <f>IF(E387="","",IFERROR(INDEX(食材マスタ!$K$10:$K$309,MATCH(E387,食材マスタ!$C$10:$C$309,0)),""))</f>
        <v/>
      </c>
      <c r="J387" s="15" t="str">
        <f t="shared" si="25"/>
        <v/>
      </c>
      <c r="K387" s="20"/>
      <c r="L387" s="8" t="str">
        <f t="shared" si="26"/>
        <v/>
      </c>
      <c r="M387" s="9"/>
      <c r="N387" s="13" t="str">
        <f t="shared" si="27"/>
        <v/>
      </c>
      <c r="O387" s="22" t="str">
        <f t="shared" ca="1" si="28"/>
        <v/>
      </c>
      <c r="P387" s="17" t="str">
        <f t="shared" si="29"/>
        <v/>
      </c>
      <c r="Q387" s="11"/>
      <c r="R387" s="19"/>
      <c r="S387" s="19"/>
      <c r="U387">
        <f ca="1">IF(AND(ISNUMBER(O387),O387&lt;=設定!$C$4),1,0)</f>
        <v>0</v>
      </c>
      <c r="V387" t="str">
        <f ca="1">IF(U387=1,SUM($U$10:U387),"")</f>
        <v/>
      </c>
    </row>
    <row r="388" spans="2:22">
      <c r="B388" s="8" t="str">
        <f>IF(C388="","",COUNT($C$10:C388))</f>
        <v/>
      </c>
      <c r="C388" s="20"/>
      <c r="D388" s="11"/>
      <c r="E388" s="9"/>
      <c r="F388" s="21" t="str">
        <f>IF(E388="","",IFERROR(INDEX(食材マスタ!$D$10:$D$309,MATCH(E388,食材マスタ!$C$10:$C$309,0)),"※コード未登録"))</f>
        <v/>
      </c>
      <c r="G388" s="16"/>
      <c r="H388" s="8" t="str">
        <f>IF(E388="","",IFERROR(INDEX(食材マスタ!$H$10:$H$309,MATCH(E388,食材マスタ!$C$10:$C$309,0)),""))</f>
        <v/>
      </c>
      <c r="I388" s="15" t="str">
        <f>IF(E388="","",IFERROR(INDEX(食材マスタ!$K$10:$K$309,MATCH(E388,食材マスタ!$C$10:$C$309,0)),""))</f>
        <v/>
      </c>
      <c r="J388" s="15" t="str">
        <f t="shared" si="25"/>
        <v/>
      </c>
      <c r="K388" s="20"/>
      <c r="L388" s="8" t="str">
        <f t="shared" si="26"/>
        <v/>
      </c>
      <c r="M388" s="9"/>
      <c r="N388" s="13" t="str">
        <f t="shared" si="27"/>
        <v/>
      </c>
      <c r="O388" s="22" t="str">
        <f t="shared" ca="1" si="28"/>
        <v/>
      </c>
      <c r="P388" s="17" t="str">
        <f t="shared" si="29"/>
        <v/>
      </c>
      <c r="Q388" s="11"/>
      <c r="R388" s="19"/>
      <c r="S388" s="19"/>
      <c r="U388">
        <f ca="1">IF(AND(ISNUMBER(O388),O388&lt;=設定!$C$4),1,0)</f>
        <v>0</v>
      </c>
      <c r="V388" t="str">
        <f ca="1">IF(U388=1,SUM($U$10:U388),"")</f>
        <v/>
      </c>
    </row>
    <row r="389" spans="2:22">
      <c r="B389" s="8" t="str">
        <f>IF(C389="","",COUNT($C$10:C389))</f>
        <v/>
      </c>
      <c r="C389" s="20"/>
      <c r="D389" s="11"/>
      <c r="E389" s="9"/>
      <c r="F389" s="21" t="str">
        <f>IF(E389="","",IFERROR(INDEX(食材マスタ!$D$10:$D$309,MATCH(E389,食材マスタ!$C$10:$C$309,0)),"※コード未登録"))</f>
        <v/>
      </c>
      <c r="G389" s="16"/>
      <c r="H389" s="8" t="str">
        <f>IF(E389="","",IFERROR(INDEX(食材マスタ!$H$10:$H$309,MATCH(E389,食材マスタ!$C$10:$C$309,0)),""))</f>
        <v/>
      </c>
      <c r="I389" s="15" t="str">
        <f>IF(E389="","",IFERROR(INDEX(食材マスタ!$K$10:$K$309,MATCH(E389,食材マスタ!$C$10:$C$309,0)),""))</f>
        <v/>
      </c>
      <c r="J389" s="15" t="str">
        <f t="shared" si="25"/>
        <v/>
      </c>
      <c r="K389" s="20"/>
      <c r="L389" s="8" t="str">
        <f t="shared" si="26"/>
        <v/>
      </c>
      <c r="M389" s="9"/>
      <c r="N389" s="13" t="str">
        <f t="shared" si="27"/>
        <v/>
      </c>
      <c r="O389" s="22" t="str">
        <f t="shared" ca="1" si="28"/>
        <v/>
      </c>
      <c r="P389" s="17" t="str">
        <f t="shared" si="29"/>
        <v/>
      </c>
      <c r="Q389" s="11"/>
      <c r="R389" s="19"/>
      <c r="S389" s="19"/>
      <c r="U389">
        <f ca="1">IF(AND(ISNUMBER(O389),O389&lt;=設定!$C$4),1,0)</f>
        <v>0</v>
      </c>
      <c r="V389" t="str">
        <f ca="1">IF(U389=1,SUM($U$10:U389),"")</f>
        <v/>
      </c>
    </row>
    <row r="390" spans="2:22">
      <c r="B390" s="8" t="str">
        <f>IF(C390="","",COUNT($C$10:C390))</f>
        <v/>
      </c>
      <c r="C390" s="20"/>
      <c r="D390" s="11"/>
      <c r="E390" s="9"/>
      <c r="F390" s="21" t="str">
        <f>IF(E390="","",IFERROR(INDEX(食材マスタ!$D$10:$D$309,MATCH(E390,食材マスタ!$C$10:$C$309,0)),"※コード未登録"))</f>
        <v/>
      </c>
      <c r="G390" s="16"/>
      <c r="H390" s="8" t="str">
        <f>IF(E390="","",IFERROR(INDEX(食材マスタ!$H$10:$H$309,MATCH(E390,食材マスタ!$C$10:$C$309,0)),""))</f>
        <v/>
      </c>
      <c r="I390" s="15" t="str">
        <f>IF(E390="","",IFERROR(INDEX(食材マスタ!$K$10:$K$309,MATCH(E390,食材マスタ!$C$10:$C$309,0)),""))</f>
        <v/>
      </c>
      <c r="J390" s="15" t="str">
        <f t="shared" si="25"/>
        <v/>
      </c>
      <c r="K390" s="20"/>
      <c r="L390" s="8" t="str">
        <f t="shared" si="26"/>
        <v/>
      </c>
      <c r="M390" s="9"/>
      <c r="N390" s="13" t="str">
        <f t="shared" si="27"/>
        <v/>
      </c>
      <c r="O390" s="22" t="str">
        <f t="shared" ca="1" si="28"/>
        <v/>
      </c>
      <c r="P390" s="17" t="str">
        <f t="shared" si="29"/>
        <v/>
      </c>
      <c r="Q390" s="11"/>
      <c r="R390" s="19"/>
      <c r="S390" s="19"/>
      <c r="U390">
        <f ca="1">IF(AND(ISNUMBER(O390),O390&lt;=設定!$C$4),1,0)</f>
        <v>0</v>
      </c>
      <c r="V390" t="str">
        <f ca="1">IF(U390=1,SUM($U$10:U390),"")</f>
        <v/>
      </c>
    </row>
    <row r="391" spans="2:22">
      <c r="B391" s="8" t="str">
        <f>IF(C391="","",COUNT($C$10:C391))</f>
        <v/>
      </c>
      <c r="C391" s="20"/>
      <c r="D391" s="11"/>
      <c r="E391" s="9"/>
      <c r="F391" s="21" t="str">
        <f>IF(E391="","",IFERROR(INDEX(食材マスタ!$D$10:$D$309,MATCH(E391,食材マスタ!$C$10:$C$309,0)),"※コード未登録"))</f>
        <v/>
      </c>
      <c r="G391" s="16"/>
      <c r="H391" s="8" t="str">
        <f>IF(E391="","",IFERROR(INDEX(食材マスタ!$H$10:$H$309,MATCH(E391,食材マスタ!$C$10:$C$309,0)),""))</f>
        <v/>
      </c>
      <c r="I391" s="15" t="str">
        <f>IF(E391="","",IFERROR(INDEX(食材マスタ!$K$10:$K$309,MATCH(E391,食材マスタ!$C$10:$C$309,0)),""))</f>
        <v/>
      </c>
      <c r="J391" s="15" t="str">
        <f t="shared" si="25"/>
        <v/>
      </c>
      <c r="K391" s="20"/>
      <c r="L391" s="8" t="str">
        <f t="shared" si="26"/>
        <v/>
      </c>
      <c r="M391" s="9"/>
      <c r="N391" s="13" t="str">
        <f t="shared" si="27"/>
        <v/>
      </c>
      <c r="O391" s="22" t="str">
        <f t="shared" ca="1" si="28"/>
        <v/>
      </c>
      <c r="P391" s="17" t="str">
        <f t="shared" si="29"/>
        <v/>
      </c>
      <c r="Q391" s="11"/>
      <c r="R391" s="19"/>
      <c r="S391" s="19"/>
      <c r="U391">
        <f ca="1">IF(AND(ISNUMBER(O391),O391&lt;=設定!$C$4),1,0)</f>
        <v>0</v>
      </c>
      <c r="V391" t="str">
        <f ca="1">IF(U391=1,SUM($U$10:U391),"")</f>
        <v/>
      </c>
    </row>
    <row r="392" spans="2:22">
      <c r="B392" s="8" t="str">
        <f>IF(C392="","",COUNT($C$10:C392))</f>
        <v/>
      </c>
      <c r="C392" s="20"/>
      <c r="D392" s="11"/>
      <c r="E392" s="9"/>
      <c r="F392" s="21" t="str">
        <f>IF(E392="","",IFERROR(INDEX(食材マスタ!$D$10:$D$309,MATCH(E392,食材マスタ!$C$10:$C$309,0)),"※コード未登録"))</f>
        <v/>
      </c>
      <c r="G392" s="16"/>
      <c r="H392" s="8" t="str">
        <f>IF(E392="","",IFERROR(INDEX(食材マスタ!$H$10:$H$309,MATCH(E392,食材マスタ!$C$10:$C$309,0)),""))</f>
        <v/>
      </c>
      <c r="I392" s="15" t="str">
        <f>IF(E392="","",IFERROR(INDEX(食材マスタ!$K$10:$K$309,MATCH(E392,食材マスタ!$C$10:$C$309,0)),""))</f>
        <v/>
      </c>
      <c r="J392" s="15" t="str">
        <f t="shared" si="25"/>
        <v/>
      </c>
      <c r="K392" s="20"/>
      <c r="L392" s="8" t="str">
        <f t="shared" si="26"/>
        <v/>
      </c>
      <c r="M392" s="9"/>
      <c r="N392" s="13" t="str">
        <f t="shared" si="27"/>
        <v/>
      </c>
      <c r="O392" s="22" t="str">
        <f t="shared" ca="1" si="28"/>
        <v/>
      </c>
      <c r="P392" s="17" t="str">
        <f t="shared" si="29"/>
        <v/>
      </c>
      <c r="Q392" s="11"/>
      <c r="R392" s="19"/>
      <c r="S392" s="19"/>
      <c r="U392">
        <f ca="1">IF(AND(ISNUMBER(O392),O392&lt;=設定!$C$4),1,0)</f>
        <v>0</v>
      </c>
      <c r="V392" t="str">
        <f ca="1">IF(U392=1,SUM($U$10:U392),"")</f>
        <v/>
      </c>
    </row>
    <row r="393" spans="2:22">
      <c r="B393" s="8" t="str">
        <f>IF(C393="","",COUNT($C$10:C393))</f>
        <v/>
      </c>
      <c r="C393" s="20"/>
      <c r="D393" s="11"/>
      <c r="E393" s="9"/>
      <c r="F393" s="21" t="str">
        <f>IF(E393="","",IFERROR(INDEX(食材マスタ!$D$10:$D$309,MATCH(E393,食材マスタ!$C$10:$C$309,0)),"※コード未登録"))</f>
        <v/>
      </c>
      <c r="G393" s="16"/>
      <c r="H393" s="8" t="str">
        <f>IF(E393="","",IFERROR(INDEX(食材マスタ!$H$10:$H$309,MATCH(E393,食材マスタ!$C$10:$C$309,0)),""))</f>
        <v/>
      </c>
      <c r="I393" s="15" t="str">
        <f>IF(E393="","",IFERROR(INDEX(食材マスタ!$K$10:$K$309,MATCH(E393,食材マスタ!$C$10:$C$309,0)),""))</f>
        <v/>
      </c>
      <c r="J393" s="15" t="str">
        <f t="shared" si="25"/>
        <v/>
      </c>
      <c r="K393" s="20"/>
      <c r="L393" s="8" t="str">
        <f t="shared" si="26"/>
        <v/>
      </c>
      <c r="M393" s="9"/>
      <c r="N393" s="13" t="str">
        <f t="shared" si="27"/>
        <v/>
      </c>
      <c r="O393" s="22" t="str">
        <f t="shared" ca="1" si="28"/>
        <v/>
      </c>
      <c r="P393" s="17" t="str">
        <f t="shared" si="29"/>
        <v/>
      </c>
      <c r="Q393" s="11"/>
      <c r="R393" s="19"/>
      <c r="S393" s="19"/>
      <c r="U393">
        <f ca="1">IF(AND(ISNUMBER(O393),O393&lt;=設定!$C$4),1,0)</f>
        <v>0</v>
      </c>
      <c r="V393" t="str">
        <f ca="1">IF(U393=1,SUM($U$10:U393),"")</f>
        <v/>
      </c>
    </row>
    <row r="394" spans="2:22">
      <c r="B394" s="8" t="str">
        <f>IF(C394="","",COUNT($C$10:C394))</f>
        <v/>
      </c>
      <c r="C394" s="20"/>
      <c r="D394" s="11"/>
      <c r="E394" s="9"/>
      <c r="F394" s="21" t="str">
        <f>IF(E394="","",IFERROR(INDEX(食材マスタ!$D$10:$D$309,MATCH(E394,食材マスタ!$C$10:$C$309,0)),"※コード未登録"))</f>
        <v/>
      </c>
      <c r="G394" s="16"/>
      <c r="H394" s="8" t="str">
        <f>IF(E394="","",IFERROR(INDEX(食材マスタ!$H$10:$H$309,MATCH(E394,食材マスタ!$C$10:$C$309,0)),""))</f>
        <v/>
      </c>
      <c r="I394" s="15" t="str">
        <f>IF(E394="","",IFERROR(INDEX(食材マスタ!$K$10:$K$309,MATCH(E394,食材マスタ!$C$10:$C$309,0)),""))</f>
        <v/>
      </c>
      <c r="J394" s="15" t="str">
        <f t="shared" ref="J394:J457" si="30">IF(OR(G394="",I394=""),"",ROUND(ABS(G394)*I394,0))</f>
        <v/>
      </c>
      <c r="K394" s="20"/>
      <c r="L394" s="8" t="str">
        <f t="shared" ref="L394:L457" si="31">IF(AND(D394="入庫",E394&lt;&gt;""),E394&amp;"-"&amp;TEXT(ROW()-9,"0000"),"")</f>
        <v/>
      </c>
      <c r="M394" s="9"/>
      <c r="N394" s="13" t="str">
        <f t="shared" ref="N394:N457" si="32">IF(L394="","",G394-SUMIFS($G$10:$G$1009,$M$10:$M$1009,L394,$D$10:$D$1009,"出庫")-SUMIFS($G$10:$G$1009,$M$10:$M$1009,L394,$D$10:$D$1009,"廃棄")+SUMIFS($G$10:$G$1009,$M$10:$M$1009,L394,$D$10:$D$1009,"棚卸調整"))</f>
        <v/>
      </c>
      <c r="O394" s="22" t="str">
        <f t="shared" ref="O394:O457" ca="1" si="33">IF(OR(L394="",K394=""),"",IF(N394&lt;=0,"",K394-TODAY()))</f>
        <v/>
      </c>
      <c r="P394" s="17" t="str">
        <f t="shared" ref="P394:P457" si="34">IF(E394="","",IF(F394="※コード未登録","コード未登録",IF(AND(OR(D394="出庫",D394="廃棄"),M394=""),"ロット未指定",IF(AND(M394&lt;&gt;"",LEFT(M394,LEN(E394)+1)&lt;&gt;E394&amp;"-"),"ロット違い",IF(AND(L394&lt;&gt;"",N394&lt;0),"ロット残マイナス","")))))</f>
        <v/>
      </c>
      <c r="Q394" s="11"/>
      <c r="R394" s="19"/>
      <c r="S394" s="19"/>
      <c r="U394">
        <f ca="1">IF(AND(ISNUMBER(O394),O394&lt;=設定!$C$4),1,0)</f>
        <v>0</v>
      </c>
      <c r="V394" t="str">
        <f ca="1">IF(U394=1,SUM($U$10:U394),"")</f>
        <v/>
      </c>
    </row>
    <row r="395" spans="2:22">
      <c r="B395" s="8" t="str">
        <f>IF(C395="","",COUNT($C$10:C395))</f>
        <v/>
      </c>
      <c r="C395" s="20"/>
      <c r="D395" s="11"/>
      <c r="E395" s="9"/>
      <c r="F395" s="21" t="str">
        <f>IF(E395="","",IFERROR(INDEX(食材マスタ!$D$10:$D$309,MATCH(E395,食材マスタ!$C$10:$C$309,0)),"※コード未登録"))</f>
        <v/>
      </c>
      <c r="G395" s="16"/>
      <c r="H395" s="8" t="str">
        <f>IF(E395="","",IFERROR(INDEX(食材マスタ!$H$10:$H$309,MATCH(E395,食材マスタ!$C$10:$C$309,0)),""))</f>
        <v/>
      </c>
      <c r="I395" s="15" t="str">
        <f>IF(E395="","",IFERROR(INDEX(食材マスタ!$K$10:$K$309,MATCH(E395,食材マスタ!$C$10:$C$309,0)),""))</f>
        <v/>
      </c>
      <c r="J395" s="15" t="str">
        <f t="shared" si="30"/>
        <v/>
      </c>
      <c r="K395" s="20"/>
      <c r="L395" s="8" t="str">
        <f t="shared" si="31"/>
        <v/>
      </c>
      <c r="M395" s="9"/>
      <c r="N395" s="13" t="str">
        <f t="shared" si="32"/>
        <v/>
      </c>
      <c r="O395" s="22" t="str">
        <f t="shared" ca="1" si="33"/>
        <v/>
      </c>
      <c r="P395" s="17" t="str">
        <f t="shared" si="34"/>
        <v/>
      </c>
      <c r="Q395" s="11"/>
      <c r="R395" s="19"/>
      <c r="S395" s="19"/>
      <c r="U395">
        <f ca="1">IF(AND(ISNUMBER(O395),O395&lt;=設定!$C$4),1,0)</f>
        <v>0</v>
      </c>
      <c r="V395" t="str">
        <f ca="1">IF(U395=1,SUM($U$10:U395),"")</f>
        <v/>
      </c>
    </row>
    <row r="396" spans="2:22">
      <c r="B396" s="8" t="str">
        <f>IF(C396="","",COUNT($C$10:C396))</f>
        <v/>
      </c>
      <c r="C396" s="20"/>
      <c r="D396" s="11"/>
      <c r="E396" s="9"/>
      <c r="F396" s="21" t="str">
        <f>IF(E396="","",IFERROR(INDEX(食材マスタ!$D$10:$D$309,MATCH(E396,食材マスタ!$C$10:$C$309,0)),"※コード未登録"))</f>
        <v/>
      </c>
      <c r="G396" s="16"/>
      <c r="H396" s="8" t="str">
        <f>IF(E396="","",IFERROR(INDEX(食材マスタ!$H$10:$H$309,MATCH(E396,食材マスタ!$C$10:$C$309,0)),""))</f>
        <v/>
      </c>
      <c r="I396" s="15" t="str">
        <f>IF(E396="","",IFERROR(INDEX(食材マスタ!$K$10:$K$309,MATCH(E396,食材マスタ!$C$10:$C$309,0)),""))</f>
        <v/>
      </c>
      <c r="J396" s="15" t="str">
        <f t="shared" si="30"/>
        <v/>
      </c>
      <c r="K396" s="20"/>
      <c r="L396" s="8" t="str">
        <f t="shared" si="31"/>
        <v/>
      </c>
      <c r="M396" s="9"/>
      <c r="N396" s="13" t="str">
        <f t="shared" si="32"/>
        <v/>
      </c>
      <c r="O396" s="22" t="str">
        <f t="shared" ca="1" si="33"/>
        <v/>
      </c>
      <c r="P396" s="17" t="str">
        <f t="shared" si="34"/>
        <v/>
      </c>
      <c r="Q396" s="11"/>
      <c r="R396" s="19"/>
      <c r="S396" s="19"/>
      <c r="U396">
        <f ca="1">IF(AND(ISNUMBER(O396),O396&lt;=設定!$C$4),1,0)</f>
        <v>0</v>
      </c>
      <c r="V396" t="str">
        <f ca="1">IF(U396=1,SUM($U$10:U396),"")</f>
        <v/>
      </c>
    </row>
    <row r="397" spans="2:22">
      <c r="B397" s="8" t="str">
        <f>IF(C397="","",COUNT($C$10:C397))</f>
        <v/>
      </c>
      <c r="C397" s="20"/>
      <c r="D397" s="11"/>
      <c r="E397" s="9"/>
      <c r="F397" s="21" t="str">
        <f>IF(E397="","",IFERROR(INDEX(食材マスタ!$D$10:$D$309,MATCH(E397,食材マスタ!$C$10:$C$309,0)),"※コード未登録"))</f>
        <v/>
      </c>
      <c r="G397" s="16"/>
      <c r="H397" s="8" t="str">
        <f>IF(E397="","",IFERROR(INDEX(食材マスタ!$H$10:$H$309,MATCH(E397,食材マスタ!$C$10:$C$309,0)),""))</f>
        <v/>
      </c>
      <c r="I397" s="15" t="str">
        <f>IF(E397="","",IFERROR(INDEX(食材マスタ!$K$10:$K$309,MATCH(E397,食材マスタ!$C$10:$C$309,0)),""))</f>
        <v/>
      </c>
      <c r="J397" s="15" t="str">
        <f t="shared" si="30"/>
        <v/>
      </c>
      <c r="K397" s="20"/>
      <c r="L397" s="8" t="str">
        <f t="shared" si="31"/>
        <v/>
      </c>
      <c r="M397" s="9"/>
      <c r="N397" s="13" t="str">
        <f t="shared" si="32"/>
        <v/>
      </c>
      <c r="O397" s="22" t="str">
        <f t="shared" ca="1" si="33"/>
        <v/>
      </c>
      <c r="P397" s="17" t="str">
        <f t="shared" si="34"/>
        <v/>
      </c>
      <c r="Q397" s="11"/>
      <c r="R397" s="19"/>
      <c r="S397" s="19"/>
      <c r="U397">
        <f ca="1">IF(AND(ISNUMBER(O397),O397&lt;=設定!$C$4),1,0)</f>
        <v>0</v>
      </c>
      <c r="V397" t="str">
        <f ca="1">IF(U397=1,SUM($U$10:U397),"")</f>
        <v/>
      </c>
    </row>
    <row r="398" spans="2:22">
      <c r="B398" s="8" t="str">
        <f>IF(C398="","",COUNT($C$10:C398))</f>
        <v/>
      </c>
      <c r="C398" s="20"/>
      <c r="D398" s="11"/>
      <c r="E398" s="9"/>
      <c r="F398" s="21" t="str">
        <f>IF(E398="","",IFERROR(INDEX(食材マスタ!$D$10:$D$309,MATCH(E398,食材マスタ!$C$10:$C$309,0)),"※コード未登録"))</f>
        <v/>
      </c>
      <c r="G398" s="16"/>
      <c r="H398" s="8" t="str">
        <f>IF(E398="","",IFERROR(INDEX(食材マスタ!$H$10:$H$309,MATCH(E398,食材マスタ!$C$10:$C$309,0)),""))</f>
        <v/>
      </c>
      <c r="I398" s="15" t="str">
        <f>IF(E398="","",IFERROR(INDEX(食材マスタ!$K$10:$K$309,MATCH(E398,食材マスタ!$C$10:$C$309,0)),""))</f>
        <v/>
      </c>
      <c r="J398" s="15" t="str">
        <f t="shared" si="30"/>
        <v/>
      </c>
      <c r="K398" s="20"/>
      <c r="L398" s="8" t="str">
        <f t="shared" si="31"/>
        <v/>
      </c>
      <c r="M398" s="9"/>
      <c r="N398" s="13" t="str">
        <f t="shared" si="32"/>
        <v/>
      </c>
      <c r="O398" s="22" t="str">
        <f t="shared" ca="1" si="33"/>
        <v/>
      </c>
      <c r="P398" s="17" t="str">
        <f t="shared" si="34"/>
        <v/>
      </c>
      <c r="Q398" s="11"/>
      <c r="R398" s="19"/>
      <c r="S398" s="19"/>
      <c r="U398">
        <f ca="1">IF(AND(ISNUMBER(O398),O398&lt;=設定!$C$4),1,0)</f>
        <v>0</v>
      </c>
      <c r="V398" t="str">
        <f ca="1">IF(U398=1,SUM($U$10:U398),"")</f>
        <v/>
      </c>
    </row>
    <row r="399" spans="2:22">
      <c r="B399" s="8" t="str">
        <f>IF(C399="","",COUNT($C$10:C399))</f>
        <v/>
      </c>
      <c r="C399" s="20"/>
      <c r="D399" s="11"/>
      <c r="E399" s="9"/>
      <c r="F399" s="21" t="str">
        <f>IF(E399="","",IFERROR(INDEX(食材マスタ!$D$10:$D$309,MATCH(E399,食材マスタ!$C$10:$C$309,0)),"※コード未登録"))</f>
        <v/>
      </c>
      <c r="G399" s="16"/>
      <c r="H399" s="8" t="str">
        <f>IF(E399="","",IFERROR(INDEX(食材マスタ!$H$10:$H$309,MATCH(E399,食材マスタ!$C$10:$C$309,0)),""))</f>
        <v/>
      </c>
      <c r="I399" s="15" t="str">
        <f>IF(E399="","",IFERROR(INDEX(食材マスタ!$K$10:$K$309,MATCH(E399,食材マスタ!$C$10:$C$309,0)),""))</f>
        <v/>
      </c>
      <c r="J399" s="15" t="str">
        <f t="shared" si="30"/>
        <v/>
      </c>
      <c r="K399" s="20"/>
      <c r="L399" s="8" t="str">
        <f t="shared" si="31"/>
        <v/>
      </c>
      <c r="M399" s="9"/>
      <c r="N399" s="13" t="str">
        <f t="shared" si="32"/>
        <v/>
      </c>
      <c r="O399" s="22" t="str">
        <f t="shared" ca="1" si="33"/>
        <v/>
      </c>
      <c r="P399" s="17" t="str">
        <f t="shared" si="34"/>
        <v/>
      </c>
      <c r="Q399" s="11"/>
      <c r="R399" s="19"/>
      <c r="S399" s="19"/>
      <c r="U399">
        <f ca="1">IF(AND(ISNUMBER(O399),O399&lt;=設定!$C$4),1,0)</f>
        <v>0</v>
      </c>
      <c r="V399" t="str">
        <f ca="1">IF(U399=1,SUM($U$10:U399),"")</f>
        <v/>
      </c>
    </row>
    <row r="400" spans="2:22">
      <c r="B400" s="8" t="str">
        <f>IF(C400="","",COUNT($C$10:C400))</f>
        <v/>
      </c>
      <c r="C400" s="20"/>
      <c r="D400" s="11"/>
      <c r="E400" s="9"/>
      <c r="F400" s="21" t="str">
        <f>IF(E400="","",IFERROR(INDEX(食材マスタ!$D$10:$D$309,MATCH(E400,食材マスタ!$C$10:$C$309,0)),"※コード未登録"))</f>
        <v/>
      </c>
      <c r="G400" s="16"/>
      <c r="H400" s="8" t="str">
        <f>IF(E400="","",IFERROR(INDEX(食材マスタ!$H$10:$H$309,MATCH(E400,食材マスタ!$C$10:$C$309,0)),""))</f>
        <v/>
      </c>
      <c r="I400" s="15" t="str">
        <f>IF(E400="","",IFERROR(INDEX(食材マスタ!$K$10:$K$309,MATCH(E400,食材マスタ!$C$10:$C$309,0)),""))</f>
        <v/>
      </c>
      <c r="J400" s="15" t="str">
        <f t="shared" si="30"/>
        <v/>
      </c>
      <c r="K400" s="20"/>
      <c r="L400" s="8" t="str">
        <f t="shared" si="31"/>
        <v/>
      </c>
      <c r="M400" s="9"/>
      <c r="N400" s="13" t="str">
        <f t="shared" si="32"/>
        <v/>
      </c>
      <c r="O400" s="22" t="str">
        <f t="shared" ca="1" si="33"/>
        <v/>
      </c>
      <c r="P400" s="17" t="str">
        <f t="shared" si="34"/>
        <v/>
      </c>
      <c r="Q400" s="11"/>
      <c r="R400" s="19"/>
      <c r="S400" s="19"/>
      <c r="U400">
        <f ca="1">IF(AND(ISNUMBER(O400),O400&lt;=設定!$C$4),1,0)</f>
        <v>0</v>
      </c>
      <c r="V400" t="str">
        <f ca="1">IF(U400=1,SUM($U$10:U400),"")</f>
        <v/>
      </c>
    </row>
    <row r="401" spans="2:22">
      <c r="B401" s="8" t="str">
        <f>IF(C401="","",COUNT($C$10:C401))</f>
        <v/>
      </c>
      <c r="C401" s="20"/>
      <c r="D401" s="11"/>
      <c r="E401" s="9"/>
      <c r="F401" s="21" t="str">
        <f>IF(E401="","",IFERROR(INDEX(食材マスタ!$D$10:$D$309,MATCH(E401,食材マスタ!$C$10:$C$309,0)),"※コード未登録"))</f>
        <v/>
      </c>
      <c r="G401" s="16"/>
      <c r="H401" s="8" t="str">
        <f>IF(E401="","",IFERROR(INDEX(食材マスタ!$H$10:$H$309,MATCH(E401,食材マスタ!$C$10:$C$309,0)),""))</f>
        <v/>
      </c>
      <c r="I401" s="15" t="str">
        <f>IF(E401="","",IFERROR(INDEX(食材マスタ!$K$10:$K$309,MATCH(E401,食材マスタ!$C$10:$C$309,0)),""))</f>
        <v/>
      </c>
      <c r="J401" s="15" t="str">
        <f t="shared" si="30"/>
        <v/>
      </c>
      <c r="K401" s="20"/>
      <c r="L401" s="8" t="str">
        <f t="shared" si="31"/>
        <v/>
      </c>
      <c r="M401" s="9"/>
      <c r="N401" s="13" t="str">
        <f t="shared" si="32"/>
        <v/>
      </c>
      <c r="O401" s="22" t="str">
        <f t="shared" ca="1" si="33"/>
        <v/>
      </c>
      <c r="P401" s="17" t="str">
        <f t="shared" si="34"/>
        <v/>
      </c>
      <c r="Q401" s="11"/>
      <c r="R401" s="19"/>
      <c r="S401" s="19"/>
      <c r="U401">
        <f ca="1">IF(AND(ISNUMBER(O401),O401&lt;=設定!$C$4),1,0)</f>
        <v>0</v>
      </c>
      <c r="V401" t="str">
        <f ca="1">IF(U401=1,SUM($U$10:U401),"")</f>
        <v/>
      </c>
    </row>
    <row r="402" spans="2:22">
      <c r="B402" s="8" t="str">
        <f>IF(C402="","",COUNT($C$10:C402))</f>
        <v/>
      </c>
      <c r="C402" s="20"/>
      <c r="D402" s="11"/>
      <c r="E402" s="9"/>
      <c r="F402" s="21" t="str">
        <f>IF(E402="","",IFERROR(INDEX(食材マスタ!$D$10:$D$309,MATCH(E402,食材マスタ!$C$10:$C$309,0)),"※コード未登録"))</f>
        <v/>
      </c>
      <c r="G402" s="16"/>
      <c r="H402" s="8" t="str">
        <f>IF(E402="","",IFERROR(INDEX(食材マスタ!$H$10:$H$309,MATCH(E402,食材マスタ!$C$10:$C$309,0)),""))</f>
        <v/>
      </c>
      <c r="I402" s="15" t="str">
        <f>IF(E402="","",IFERROR(INDEX(食材マスタ!$K$10:$K$309,MATCH(E402,食材マスタ!$C$10:$C$309,0)),""))</f>
        <v/>
      </c>
      <c r="J402" s="15" t="str">
        <f t="shared" si="30"/>
        <v/>
      </c>
      <c r="K402" s="20"/>
      <c r="L402" s="8" t="str">
        <f t="shared" si="31"/>
        <v/>
      </c>
      <c r="M402" s="9"/>
      <c r="N402" s="13" t="str">
        <f t="shared" si="32"/>
        <v/>
      </c>
      <c r="O402" s="22" t="str">
        <f t="shared" ca="1" si="33"/>
        <v/>
      </c>
      <c r="P402" s="17" t="str">
        <f t="shared" si="34"/>
        <v/>
      </c>
      <c r="Q402" s="11"/>
      <c r="R402" s="19"/>
      <c r="S402" s="19"/>
      <c r="U402">
        <f ca="1">IF(AND(ISNUMBER(O402),O402&lt;=設定!$C$4),1,0)</f>
        <v>0</v>
      </c>
      <c r="V402" t="str">
        <f ca="1">IF(U402=1,SUM($U$10:U402),"")</f>
        <v/>
      </c>
    </row>
    <row r="403" spans="2:22">
      <c r="B403" s="8" t="str">
        <f>IF(C403="","",COUNT($C$10:C403))</f>
        <v/>
      </c>
      <c r="C403" s="20"/>
      <c r="D403" s="11"/>
      <c r="E403" s="9"/>
      <c r="F403" s="21" t="str">
        <f>IF(E403="","",IFERROR(INDEX(食材マスタ!$D$10:$D$309,MATCH(E403,食材マスタ!$C$10:$C$309,0)),"※コード未登録"))</f>
        <v/>
      </c>
      <c r="G403" s="16"/>
      <c r="H403" s="8" t="str">
        <f>IF(E403="","",IFERROR(INDEX(食材マスタ!$H$10:$H$309,MATCH(E403,食材マスタ!$C$10:$C$309,0)),""))</f>
        <v/>
      </c>
      <c r="I403" s="15" t="str">
        <f>IF(E403="","",IFERROR(INDEX(食材マスタ!$K$10:$K$309,MATCH(E403,食材マスタ!$C$10:$C$309,0)),""))</f>
        <v/>
      </c>
      <c r="J403" s="15" t="str">
        <f t="shared" si="30"/>
        <v/>
      </c>
      <c r="K403" s="20"/>
      <c r="L403" s="8" t="str">
        <f t="shared" si="31"/>
        <v/>
      </c>
      <c r="M403" s="9"/>
      <c r="N403" s="13" t="str">
        <f t="shared" si="32"/>
        <v/>
      </c>
      <c r="O403" s="22" t="str">
        <f t="shared" ca="1" si="33"/>
        <v/>
      </c>
      <c r="P403" s="17" t="str">
        <f t="shared" si="34"/>
        <v/>
      </c>
      <c r="Q403" s="11"/>
      <c r="R403" s="19"/>
      <c r="S403" s="19"/>
      <c r="U403">
        <f ca="1">IF(AND(ISNUMBER(O403),O403&lt;=設定!$C$4),1,0)</f>
        <v>0</v>
      </c>
      <c r="V403" t="str">
        <f ca="1">IF(U403=1,SUM($U$10:U403),"")</f>
        <v/>
      </c>
    </row>
    <row r="404" spans="2:22">
      <c r="B404" s="8" t="str">
        <f>IF(C404="","",COUNT($C$10:C404))</f>
        <v/>
      </c>
      <c r="C404" s="20"/>
      <c r="D404" s="11"/>
      <c r="E404" s="9"/>
      <c r="F404" s="21" t="str">
        <f>IF(E404="","",IFERROR(INDEX(食材マスタ!$D$10:$D$309,MATCH(E404,食材マスタ!$C$10:$C$309,0)),"※コード未登録"))</f>
        <v/>
      </c>
      <c r="G404" s="16"/>
      <c r="H404" s="8" t="str">
        <f>IF(E404="","",IFERROR(INDEX(食材マスタ!$H$10:$H$309,MATCH(E404,食材マスタ!$C$10:$C$309,0)),""))</f>
        <v/>
      </c>
      <c r="I404" s="15" t="str">
        <f>IF(E404="","",IFERROR(INDEX(食材マスタ!$K$10:$K$309,MATCH(E404,食材マスタ!$C$10:$C$309,0)),""))</f>
        <v/>
      </c>
      <c r="J404" s="15" t="str">
        <f t="shared" si="30"/>
        <v/>
      </c>
      <c r="K404" s="20"/>
      <c r="L404" s="8" t="str">
        <f t="shared" si="31"/>
        <v/>
      </c>
      <c r="M404" s="9"/>
      <c r="N404" s="13" t="str">
        <f t="shared" si="32"/>
        <v/>
      </c>
      <c r="O404" s="22" t="str">
        <f t="shared" ca="1" si="33"/>
        <v/>
      </c>
      <c r="P404" s="17" t="str">
        <f t="shared" si="34"/>
        <v/>
      </c>
      <c r="Q404" s="11"/>
      <c r="R404" s="19"/>
      <c r="S404" s="19"/>
      <c r="U404">
        <f ca="1">IF(AND(ISNUMBER(O404),O404&lt;=設定!$C$4),1,0)</f>
        <v>0</v>
      </c>
      <c r="V404" t="str">
        <f ca="1">IF(U404=1,SUM($U$10:U404),"")</f>
        <v/>
      </c>
    </row>
    <row r="405" spans="2:22">
      <c r="B405" s="8" t="str">
        <f>IF(C405="","",COUNT($C$10:C405))</f>
        <v/>
      </c>
      <c r="C405" s="20"/>
      <c r="D405" s="11"/>
      <c r="E405" s="9"/>
      <c r="F405" s="21" t="str">
        <f>IF(E405="","",IFERROR(INDEX(食材マスタ!$D$10:$D$309,MATCH(E405,食材マスタ!$C$10:$C$309,0)),"※コード未登録"))</f>
        <v/>
      </c>
      <c r="G405" s="16"/>
      <c r="H405" s="8" t="str">
        <f>IF(E405="","",IFERROR(INDEX(食材マスタ!$H$10:$H$309,MATCH(E405,食材マスタ!$C$10:$C$309,0)),""))</f>
        <v/>
      </c>
      <c r="I405" s="15" t="str">
        <f>IF(E405="","",IFERROR(INDEX(食材マスタ!$K$10:$K$309,MATCH(E405,食材マスタ!$C$10:$C$309,0)),""))</f>
        <v/>
      </c>
      <c r="J405" s="15" t="str">
        <f t="shared" si="30"/>
        <v/>
      </c>
      <c r="K405" s="20"/>
      <c r="L405" s="8" t="str">
        <f t="shared" si="31"/>
        <v/>
      </c>
      <c r="M405" s="9"/>
      <c r="N405" s="13" t="str">
        <f t="shared" si="32"/>
        <v/>
      </c>
      <c r="O405" s="22" t="str">
        <f t="shared" ca="1" si="33"/>
        <v/>
      </c>
      <c r="P405" s="17" t="str">
        <f t="shared" si="34"/>
        <v/>
      </c>
      <c r="Q405" s="11"/>
      <c r="R405" s="19"/>
      <c r="S405" s="19"/>
      <c r="U405">
        <f ca="1">IF(AND(ISNUMBER(O405),O405&lt;=設定!$C$4),1,0)</f>
        <v>0</v>
      </c>
      <c r="V405" t="str">
        <f ca="1">IF(U405=1,SUM($U$10:U405),"")</f>
        <v/>
      </c>
    </row>
    <row r="406" spans="2:22">
      <c r="B406" s="8" t="str">
        <f>IF(C406="","",COUNT($C$10:C406))</f>
        <v/>
      </c>
      <c r="C406" s="20"/>
      <c r="D406" s="11"/>
      <c r="E406" s="9"/>
      <c r="F406" s="21" t="str">
        <f>IF(E406="","",IFERROR(INDEX(食材マスタ!$D$10:$D$309,MATCH(E406,食材マスタ!$C$10:$C$309,0)),"※コード未登録"))</f>
        <v/>
      </c>
      <c r="G406" s="16"/>
      <c r="H406" s="8" t="str">
        <f>IF(E406="","",IFERROR(INDEX(食材マスタ!$H$10:$H$309,MATCH(E406,食材マスタ!$C$10:$C$309,0)),""))</f>
        <v/>
      </c>
      <c r="I406" s="15" t="str">
        <f>IF(E406="","",IFERROR(INDEX(食材マスタ!$K$10:$K$309,MATCH(E406,食材マスタ!$C$10:$C$309,0)),""))</f>
        <v/>
      </c>
      <c r="J406" s="15" t="str">
        <f t="shared" si="30"/>
        <v/>
      </c>
      <c r="K406" s="20"/>
      <c r="L406" s="8" t="str">
        <f t="shared" si="31"/>
        <v/>
      </c>
      <c r="M406" s="9"/>
      <c r="N406" s="13" t="str">
        <f t="shared" si="32"/>
        <v/>
      </c>
      <c r="O406" s="22" t="str">
        <f t="shared" ca="1" si="33"/>
        <v/>
      </c>
      <c r="P406" s="17" t="str">
        <f t="shared" si="34"/>
        <v/>
      </c>
      <c r="Q406" s="11"/>
      <c r="R406" s="19"/>
      <c r="S406" s="19"/>
      <c r="U406">
        <f ca="1">IF(AND(ISNUMBER(O406),O406&lt;=設定!$C$4),1,0)</f>
        <v>0</v>
      </c>
      <c r="V406" t="str">
        <f ca="1">IF(U406=1,SUM($U$10:U406),"")</f>
        <v/>
      </c>
    </row>
    <row r="407" spans="2:22">
      <c r="B407" s="8" t="str">
        <f>IF(C407="","",COUNT($C$10:C407))</f>
        <v/>
      </c>
      <c r="C407" s="20"/>
      <c r="D407" s="11"/>
      <c r="E407" s="9"/>
      <c r="F407" s="21" t="str">
        <f>IF(E407="","",IFERROR(INDEX(食材マスタ!$D$10:$D$309,MATCH(E407,食材マスタ!$C$10:$C$309,0)),"※コード未登録"))</f>
        <v/>
      </c>
      <c r="G407" s="16"/>
      <c r="H407" s="8" t="str">
        <f>IF(E407="","",IFERROR(INDEX(食材マスタ!$H$10:$H$309,MATCH(E407,食材マスタ!$C$10:$C$309,0)),""))</f>
        <v/>
      </c>
      <c r="I407" s="15" t="str">
        <f>IF(E407="","",IFERROR(INDEX(食材マスタ!$K$10:$K$309,MATCH(E407,食材マスタ!$C$10:$C$309,0)),""))</f>
        <v/>
      </c>
      <c r="J407" s="15" t="str">
        <f t="shared" si="30"/>
        <v/>
      </c>
      <c r="K407" s="20"/>
      <c r="L407" s="8" t="str">
        <f t="shared" si="31"/>
        <v/>
      </c>
      <c r="M407" s="9"/>
      <c r="N407" s="13" t="str">
        <f t="shared" si="32"/>
        <v/>
      </c>
      <c r="O407" s="22" t="str">
        <f t="shared" ca="1" si="33"/>
        <v/>
      </c>
      <c r="P407" s="17" t="str">
        <f t="shared" si="34"/>
        <v/>
      </c>
      <c r="Q407" s="11"/>
      <c r="R407" s="19"/>
      <c r="S407" s="19"/>
      <c r="U407">
        <f ca="1">IF(AND(ISNUMBER(O407),O407&lt;=設定!$C$4),1,0)</f>
        <v>0</v>
      </c>
      <c r="V407" t="str">
        <f ca="1">IF(U407=1,SUM($U$10:U407),"")</f>
        <v/>
      </c>
    </row>
    <row r="408" spans="2:22">
      <c r="B408" s="8" t="str">
        <f>IF(C408="","",COUNT($C$10:C408))</f>
        <v/>
      </c>
      <c r="C408" s="20"/>
      <c r="D408" s="11"/>
      <c r="E408" s="9"/>
      <c r="F408" s="21" t="str">
        <f>IF(E408="","",IFERROR(INDEX(食材マスタ!$D$10:$D$309,MATCH(E408,食材マスタ!$C$10:$C$309,0)),"※コード未登録"))</f>
        <v/>
      </c>
      <c r="G408" s="16"/>
      <c r="H408" s="8" t="str">
        <f>IF(E408="","",IFERROR(INDEX(食材マスタ!$H$10:$H$309,MATCH(E408,食材マスタ!$C$10:$C$309,0)),""))</f>
        <v/>
      </c>
      <c r="I408" s="15" t="str">
        <f>IF(E408="","",IFERROR(INDEX(食材マスタ!$K$10:$K$309,MATCH(E408,食材マスタ!$C$10:$C$309,0)),""))</f>
        <v/>
      </c>
      <c r="J408" s="15" t="str">
        <f t="shared" si="30"/>
        <v/>
      </c>
      <c r="K408" s="20"/>
      <c r="L408" s="8" t="str">
        <f t="shared" si="31"/>
        <v/>
      </c>
      <c r="M408" s="9"/>
      <c r="N408" s="13" t="str">
        <f t="shared" si="32"/>
        <v/>
      </c>
      <c r="O408" s="22" t="str">
        <f t="shared" ca="1" si="33"/>
        <v/>
      </c>
      <c r="P408" s="17" t="str">
        <f t="shared" si="34"/>
        <v/>
      </c>
      <c r="Q408" s="11"/>
      <c r="R408" s="19"/>
      <c r="S408" s="19"/>
      <c r="U408">
        <f ca="1">IF(AND(ISNUMBER(O408),O408&lt;=設定!$C$4),1,0)</f>
        <v>0</v>
      </c>
      <c r="V408" t="str">
        <f ca="1">IF(U408=1,SUM($U$10:U408),"")</f>
        <v/>
      </c>
    </row>
    <row r="409" spans="2:22">
      <c r="B409" s="8" t="str">
        <f>IF(C409="","",COUNT($C$10:C409))</f>
        <v/>
      </c>
      <c r="C409" s="20"/>
      <c r="D409" s="11"/>
      <c r="E409" s="9"/>
      <c r="F409" s="21" t="str">
        <f>IF(E409="","",IFERROR(INDEX(食材マスタ!$D$10:$D$309,MATCH(E409,食材マスタ!$C$10:$C$309,0)),"※コード未登録"))</f>
        <v/>
      </c>
      <c r="G409" s="16"/>
      <c r="H409" s="8" t="str">
        <f>IF(E409="","",IFERROR(INDEX(食材マスタ!$H$10:$H$309,MATCH(E409,食材マスタ!$C$10:$C$309,0)),""))</f>
        <v/>
      </c>
      <c r="I409" s="15" t="str">
        <f>IF(E409="","",IFERROR(INDEX(食材マスタ!$K$10:$K$309,MATCH(E409,食材マスタ!$C$10:$C$309,0)),""))</f>
        <v/>
      </c>
      <c r="J409" s="15" t="str">
        <f t="shared" si="30"/>
        <v/>
      </c>
      <c r="K409" s="20"/>
      <c r="L409" s="8" t="str">
        <f t="shared" si="31"/>
        <v/>
      </c>
      <c r="M409" s="9"/>
      <c r="N409" s="13" t="str">
        <f t="shared" si="32"/>
        <v/>
      </c>
      <c r="O409" s="22" t="str">
        <f t="shared" ca="1" si="33"/>
        <v/>
      </c>
      <c r="P409" s="17" t="str">
        <f t="shared" si="34"/>
        <v/>
      </c>
      <c r="Q409" s="11"/>
      <c r="R409" s="19"/>
      <c r="S409" s="19"/>
      <c r="U409">
        <f ca="1">IF(AND(ISNUMBER(O409),O409&lt;=設定!$C$4),1,0)</f>
        <v>0</v>
      </c>
      <c r="V409" t="str">
        <f ca="1">IF(U409=1,SUM($U$10:U409),"")</f>
        <v/>
      </c>
    </row>
    <row r="410" spans="2:22">
      <c r="B410" s="8" t="str">
        <f>IF(C410="","",COUNT($C$10:C410))</f>
        <v/>
      </c>
      <c r="C410" s="20"/>
      <c r="D410" s="11"/>
      <c r="E410" s="9"/>
      <c r="F410" s="21" t="str">
        <f>IF(E410="","",IFERROR(INDEX(食材マスタ!$D$10:$D$309,MATCH(E410,食材マスタ!$C$10:$C$309,0)),"※コード未登録"))</f>
        <v/>
      </c>
      <c r="G410" s="16"/>
      <c r="H410" s="8" t="str">
        <f>IF(E410="","",IFERROR(INDEX(食材マスタ!$H$10:$H$309,MATCH(E410,食材マスタ!$C$10:$C$309,0)),""))</f>
        <v/>
      </c>
      <c r="I410" s="15" t="str">
        <f>IF(E410="","",IFERROR(INDEX(食材マスタ!$K$10:$K$309,MATCH(E410,食材マスタ!$C$10:$C$309,0)),""))</f>
        <v/>
      </c>
      <c r="J410" s="15" t="str">
        <f t="shared" si="30"/>
        <v/>
      </c>
      <c r="K410" s="20"/>
      <c r="L410" s="8" t="str">
        <f t="shared" si="31"/>
        <v/>
      </c>
      <c r="M410" s="9"/>
      <c r="N410" s="13" t="str">
        <f t="shared" si="32"/>
        <v/>
      </c>
      <c r="O410" s="22" t="str">
        <f t="shared" ca="1" si="33"/>
        <v/>
      </c>
      <c r="P410" s="17" t="str">
        <f t="shared" si="34"/>
        <v/>
      </c>
      <c r="Q410" s="11"/>
      <c r="R410" s="19"/>
      <c r="S410" s="19"/>
      <c r="U410">
        <f ca="1">IF(AND(ISNUMBER(O410),O410&lt;=設定!$C$4),1,0)</f>
        <v>0</v>
      </c>
      <c r="V410" t="str">
        <f ca="1">IF(U410=1,SUM($U$10:U410),"")</f>
        <v/>
      </c>
    </row>
    <row r="411" spans="2:22">
      <c r="B411" s="8" t="str">
        <f>IF(C411="","",COUNT($C$10:C411))</f>
        <v/>
      </c>
      <c r="C411" s="20"/>
      <c r="D411" s="11"/>
      <c r="E411" s="9"/>
      <c r="F411" s="21" t="str">
        <f>IF(E411="","",IFERROR(INDEX(食材マスタ!$D$10:$D$309,MATCH(E411,食材マスタ!$C$10:$C$309,0)),"※コード未登録"))</f>
        <v/>
      </c>
      <c r="G411" s="16"/>
      <c r="H411" s="8" t="str">
        <f>IF(E411="","",IFERROR(INDEX(食材マスタ!$H$10:$H$309,MATCH(E411,食材マスタ!$C$10:$C$309,0)),""))</f>
        <v/>
      </c>
      <c r="I411" s="15" t="str">
        <f>IF(E411="","",IFERROR(INDEX(食材マスタ!$K$10:$K$309,MATCH(E411,食材マスタ!$C$10:$C$309,0)),""))</f>
        <v/>
      </c>
      <c r="J411" s="15" t="str">
        <f t="shared" si="30"/>
        <v/>
      </c>
      <c r="K411" s="20"/>
      <c r="L411" s="8" t="str">
        <f t="shared" si="31"/>
        <v/>
      </c>
      <c r="M411" s="9"/>
      <c r="N411" s="13" t="str">
        <f t="shared" si="32"/>
        <v/>
      </c>
      <c r="O411" s="22" t="str">
        <f t="shared" ca="1" si="33"/>
        <v/>
      </c>
      <c r="P411" s="17" t="str">
        <f t="shared" si="34"/>
        <v/>
      </c>
      <c r="Q411" s="11"/>
      <c r="R411" s="19"/>
      <c r="S411" s="19"/>
      <c r="U411">
        <f ca="1">IF(AND(ISNUMBER(O411),O411&lt;=設定!$C$4),1,0)</f>
        <v>0</v>
      </c>
      <c r="V411" t="str">
        <f ca="1">IF(U411=1,SUM($U$10:U411),"")</f>
        <v/>
      </c>
    </row>
    <row r="412" spans="2:22">
      <c r="B412" s="8" t="str">
        <f>IF(C412="","",COUNT($C$10:C412))</f>
        <v/>
      </c>
      <c r="C412" s="20"/>
      <c r="D412" s="11"/>
      <c r="E412" s="9"/>
      <c r="F412" s="21" t="str">
        <f>IF(E412="","",IFERROR(INDEX(食材マスタ!$D$10:$D$309,MATCH(E412,食材マスタ!$C$10:$C$309,0)),"※コード未登録"))</f>
        <v/>
      </c>
      <c r="G412" s="16"/>
      <c r="H412" s="8" t="str">
        <f>IF(E412="","",IFERROR(INDEX(食材マスタ!$H$10:$H$309,MATCH(E412,食材マスタ!$C$10:$C$309,0)),""))</f>
        <v/>
      </c>
      <c r="I412" s="15" t="str">
        <f>IF(E412="","",IFERROR(INDEX(食材マスタ!$K$10:$K$309,MATCH(E412,食材マスタ!$C$10:$C$309,0)),""))</f>
        <v/>
      </c>
      <c r="J412" s="15" t="str">
        <f t="shared" si="30"/>
        <v/>
      </c>
      <c r="K412" s="20"/>
      <c r="L412" s="8" t="str">
        <f t="shared" si="31"/>
        <v/>
      </c>
      <c r="M412" s="9"/>
      <c r="N412" s="13" t="str">
        <f t="shared" si="32"/>
        <v/>
      </c>
      <c r="O412" s="22" t="str">
        <f t="shared" ca="1" si="33"/>
        <v/>
      </c>
      <c r="P412" s="17" t="str">
        <f t="shared" si="34"/>
        <v/>
      </c>
      <c r="Q412" s="11"/>
      <c r="R412" s="19"/>
      <c r="S412" s="19"/>
      <c r="U412">
        <f ca="1">IF(AND(ISNUMBER(O412),O412&lt;=設定!$C$4),1,0)</f>
        <v>0</v>
      </c>
      <c r="V412" t="str">
        <f ca="1">IF(U412=1,SUM($U$10:U412),"")</f>
        <v/>
      </c>
    </row>
    <row r="413" spans="2:22">
      <c r="B413" s="8" t="str">
        <f>IF(C413="","",COUNT($C$10:C413))</f>
        <v/>
      </c>
      <c r="C413" s="20"/>
      <c r="D413" s="11"/>
      <c r="E413" s="9"/>
      <c r="F413" s="21" t="str">
        <f>IF(E413="","",IFERROR(INDEX(食材マスタ!$D$10:$D$309,MATCH(E413,食材マスタ!$C$10:$C$309,0)),"※コード未登録"))</f>
        <v/>
      </c>
      <c r="G413" s="16"/>
      <c r="H413" s="8" t="str">
        <f>IF(E413="","",IFERROR(INDEX(食材マスタ!$H$10:$H$309,MATCH(E413,食材マスタ!$C$10:$C$309,0)),""))</f>
        <v/>
      </c>
      <c r="I413" s="15" t="str">
        <f>IF(E413="","",IFERROR(INDEX(食材マスタ!$K$10:$K$309,MATCH(E413,食材マスタ!$C$10:$C$309,0)),""))</f>
        <v/>
      </c>
      <c r="J413" s="15" t="str">
        <f t="shared" si="30"/>
        <v/>
      </c>
      <c r="K413" s="20"/>
      <c r="L413" s="8" t="str">
        <f t="shared" si="31"/>
        <v/>
      </c>
      <c r="M413" s="9"/>
      <c r="N413" s="13" t="str">
        <f t="shared" si="32"/>
        <v/>
      </c>
      <c r="O413" s="22" t="str">
        <f t="shared" ca="1" si="33"/>
        <v/>
      </c>
      <c r="P413" s="17" t="str">
        <f t="shared" si="34"/>
        <v/>
      </c>
      <c r="Q413" s="11"/>
      <c r="R413" s="19"/>
      <c r="S413" s="19"/>
      <c r="U413">
        <f ca="1">IF(AND(ISNUMBER(O413),O413&lt;=設定!$C$4),1,0)</f>
        <v>0</v>
      </c>
      <c r="V413" t="str">
        <f ca="1">IF(U413=1,SUM($U$10:U413),"")</f>
        <v/>
      </c>
    </row>
    <row r="414" spans="2:22">
      <c r="B414" s="8" t="str">
        <f>IF(C414="","",COUNT($C$10:C414))</f>
        <v/>
      </c>
      <c r="C414" s="20"/>
      <c r="D414" s="11"/>
      <c r="E414" s="9"/>
      <c r="F414" s="21" t="str">
        <f>IF(E414="","",IFERROR(INDEX(食材マスタ!$D$10:$D$309,MATCH(E414,食材マスタ!$C$10:$C$309,0)),"※コード未登録"))</f>
        <v/>
      </c>
      <c r="G414" s="16"/>
      <c r="H414" s="8" t="str">
        <f>IF(E414="","",IFERROR(INDEX(食材マスタ!$H$10:$H$309,MATCH(E414,食材マスタ!$C$10:$C$309,0)),""))</f>
        <v/>
      </c>
      <c r="I414" s="15" t="str">
        <f>IF(E414="","",IFERROR(INDEX(食材マスタ!$K$10:$K$309,MATCH(E414,食材マスタ!$C$10:$C$309,0)),""))</f>
        <v/>
      </c>
      <c r="J414" s="15" t="str">
        <f t="shared" si="30"/>
        <v/>
      </c>
      <c r="K414" s="20"/>
      <c r="L414" s="8" t="str">
        <f t="shared" si="31"/>
        <v/>
      </c>
      <c r="M414" s="9"/>
      <c r="N414" s="13" t="str">
        <f t="shared" si="32"/>
        <v/>
      </c>
      <c r="O414" s="22" t="str">
        <f t="shared" ca="1" si="33"/>
        <v/>
      </c>
      <c r="P414" s="17" t="str">
        <f t="shared" si="34"/>
        <v/>
      </c>
      <c r="Q414" s="11"/>
      <c r="R414" s="19"/>
      <c r="S414" s="19"/>
      <c r="U414">
        <f ca="1">IF(AND(ISNUMBER(O414),O414&lt;=設定!$C$4),1,0)</f>
        <v>0</v>
      </c>
      <c r="V414" t="str">
        <f ca="1">IF(U414=1,SUM($U$10:U414),"")</f>
        <v/>
      </c>
    </row>
    <row r="415" spans="2:22">
      <c r="B415" s="8" t="str">
        <f>IF(C415="","",COUNT($C$10:C415))</f>
        <v/>
      </c>
      <c r="C415" s="20"/>
      <c r="D415" s="11"/>
      <c r="E415" s="9"/>
      <c r="F415" s="21" t="str">
        <f>IF(E415="","",IFERROR(INDEX(食材マスタ!$D$10:$D$309,MATCH(E415,食材マスタ!$C$10:$C$309,0)),"※コード未登録"))</f>
        <v/>
      </c>
      <c r="G415" s="16"/>
      <c r="H415" s="8" t="str">
        <f>IF(E415="","",IFERROR(INDEX(食材マスタ!$H$10:$H$309,MATCH(E415,食材マスタ!$C$10:$C$309,0)),""))</f>
        <v/>
      </c>
      <c r="I415" s="15" t="str">
        <f>IF(E415="","",IFERROR(INDEX(食材マスタ!$K$10:$K$309,MATCH(E415,食材マスタ!$C$10:$C$309,0)),""))</f>
        <v/>
      </c>
      <c r="J415" s="15" t="str">
        <f t="shared" si="30"/>
        <v/>
      </c>
      <c r="K415" s="20"/>
      <c r="L415" s="8" t="str">
        <f t="shared" si="31"/>
        <v/>
      </c>
      <c r="M415" s="9"/>
      <c r="N415" s="13" t="str">
        <f t="shared" si="32"/>
        <v/>
      </c>
      <c r="O415" s="22" t="str">
        <f t="shared" ca="1" si="33"/>
        <v/>
      </c>
      <c r="P415" s="17" t="str">
        <f t="shared" si="34"/>
        <v/>
      </c>
      <c r="Q415" s="11"/>
      <c r="R415" s="19"/>
      <c r="S415" s="19"/>
      <c r="U415">
        <f ca="1">IF(AND(ISNUMBER(O415),O415&lt;=設定!$C$4),1,0)</f>
        <v>0</v>
      </c>
      <c r="V415" t="str">
        <f ca="1">IF(U415=1,SUM($U$10:U415),"")</f>
        <v/>
      </c>
    </row>
    <row r="416" spans="2:22">
      <c r="B416" s="8" t="str">
        <f>IF(C416="","",COUNT($C$10:C416))</f>
        <v/>
      </c>
      <c r="C416" s="20"/>
      <c r="D416" s="11"/>
      <c r="E416" s="9"/>
      <c r="F416" s="21" t="str">
        <f>IF(E416="","",IFERROR(INDEX(食材マスタ!$D$10:$D$309,MATCH(E416,食材マスタ!$C$10:$C$309,0)),"※コード未登録"))</f>
        <v/>
      </c>
      <c r="G416" s="16"/>
      <c r="H416" s="8" t="str">
        <f>IF(E416="","",IFERROR(INDEX(食材マスタ!$H$10:$H$309,MATCH(E416,食材マスタ!$C$10:$C$309,0)),""))</f>
        <v/>
      </c>
      <c r="I416" s="15" t="str">
        <f>IF(E416="","",IFERROR(INDEX(食材マスタ!$K$10:$K$309,MATCH(E416,食材マスタ!$C$10:$C$309,0)),""))</f>
        <v/>
      </c>
      <c r="J416" s="15" t="str">
        <f t="shared" si="30"/>
        <v/>
      </c>
      <c r="K416" s="20"/>
      <c r="L416" s="8" t="str">
        <f t="shared" si="31"/>
        <v/>
      </c>
      <c r="M416" s="9"/>
      <c r="N416" s="13" t="str">
        <f t="shared" si="32"/>
        <v/>
      </c>
      <c r="O416" s="22" t="str">
        <f t="shared" ca="1" si="33"/>
        <v/>
      </c>
      <c r="P416" s="17" t="str">
        <f t="shared" si="34"/>
        <v/>
      </c>
      <c r="Q416" s="11"/>
      <c r="R416" s="19"/>
      <c r="S416" s="19"/>
      <c r="U416">
        <f ca="1">IF(AND(ISNUMBER(O416),O416&lt;=設定!$C$4),1,0)</f>
        <v>0</v>
      </c>
      <c r="V416" t="str">
        <f ca="1">IF(U416=1,SUM($U$10:U416),"")</f>
        <v/>
      </c>
    </row>
    <row r="417" spans="2:22">
      <c r="B417" s="8" t="str">
        <f>IF(C417="","",COUNT($C$10:C417))</f>
        <v/>
      </c>
      <c r="C417" s="20"/>
      <c r="D417" s="11"/>
      <c r="E417" s="9"/>
      <c r="F417" s="21" t="str">
        <f>IF(E417="","",IFERROR(INDEX(食材マスタ!$D$10:$D$309,MATCH(E417,食材マスタ!$C$10:$C$309,0)),"※コード未登録"))</f>
        <v/>
      </c>
      <c r="G417" s="16"/>
      <c r="H417" s="8" t="str">
        <f>IF(E417="","",IFERROR(INDEX(食材マスタ!$H$10:$H$309,MATCH(E417,食材マスタ!$C$10:$C$309,0)),""))</f>
        <v/>
      </c>
      <c r="I417" s="15" t="str">
        <f>IF(E417="","",IFERROR(INDEX(食材マスタ!$K$10:$K$309,MATCH(E417,食材マスタ!$C$10:$C$309,0)),""))</f>
        <v/>
      </c>
      <c r="J417" s="15" t="str">
        <f t="shared" si="30"/>
        <v/>
      </c>
      <c r="K417" s="20"/>
      <c r="L417" s="8" t="str">
        <f t="shared" si="31"/>
        <v/>
      </c>
      <c r="M417" s="9"/>
      <c r="N417" s="13" t="str">
        <f t="shared" si="32"/>
        <v/>
      </c>
      <c r="O417" s="22" t="str">
        <f t="shared" ca="1" si="33"/>
        <v/>
      </c>
      <c r="P417" s="17" t="str">
        <f t="shared" si="34"/>
        <v/>
      </c>
      <c r="Q417" s="11"/>
      <c r="R417" s="19"/>
      <c r="S417" s="19"/>
      <c r="U417">
        <f ca="1">IF(AND(ISNUMBER(O417),O417&lt;=設定!$C$4),1,0)</f>
        <v>0</v>
      </c>
      <c r="V417" t="str">
        <f ca="1">IF(U417=1,SUM($U$10:U417),"")</f>
        <v/>
      </c>
    </row>
    <row r="418" spans="2:22">
      <c r="B418" s="8" t="str">
        <f>IF(C418="","",COUNT($C$10:C418))</f>
        <v/>
      </c>
      <c r="C418" s="20"/>
      <c r="D418" s="11"/>
      <c r="E418" s="9"/>
      <c r="F418" s="21" t="str">
        <f>IF(E418="","",IFERROR(INDEX(食材マスタ!$D$10:$D$309,MATCH(E418,食材マスタ!$C$10:$C$309,0)),"※コード未登録"))</f>
        <v/>
      </c>
      <c r="G418" s="16"/>
      <c r="H418" s="8" t="str">
        <f>IF(E418="","",IFERROR(INDEX(食材マスタ!$H$10:$H$309,MATCH(E418,食材マスタ!$C$10:$C$309,0)),""))</f>
        <v/>
      </c>
      <c r="I418" s="15" t="str">
        <f>IF(E418="","",IFERROR(INDEX(食材マスタ!$K$10:$K$309,MATCH(E418,食材マスタ!$C$10:$C$309,0)),""))</f>
        <v/>
      </c>
      <c r="J418" s="15" t="str">
        <f t="shared" si="30"/>
        <v/>
      </c>
      <c r="K418" s="20"/>
      <c r="L418" s="8" t="str">
        <f t="shared" si="31"/>
        <v/>
      </c>
      <c r="M418" s="9"/>
      <c r="N418" s="13" t="str">
        <f t="shared" si="32"/>
        <v/>
      </c>
      <c r="O418" s="22" t="str">
        <f t="shared" ca="1" si="33"/>
        <v/>
      </c>
      <c r="P418" s="17" t="str">
        <f t="shared" si="34"/>
        <v/>
      </c>
      <c r="Q418" s="11"/>
      <c r="R418" s="19"/>
      <c r="S418" s="19"/>
      <c r="U418">
        <f ca="1">IF(AND(ISNUMBER(O418),O418&lt;=設定!$C$4),1,0)</f>
        <v>0</v>
      </c>
      <c r="V418" t="str">
        <f ca="1">IF(U418=1,SUM($U$10:U418),"")</f>
        <v/>
      </c>
    </row>
    <row r="419" spans="2:22">
      <c r="B419" s="8" t="str">
        <f>IF(C419="","",COUNT($C$10:C419))</f>
        <v/>
      </c>
      <c r="C419" s="20"/>
      <c r="D419" s="11"/>
      <c r="E419" s="9"/>
      <c r="F419" s="21" t="str">
        <f>IF(E419="","",IFERROR(INDEX(食材マスタ!$D$10:$D$309,MATCH(E419,食材マスタ!$C$10:$C$309,0)),"※コード未登録"))</f>
        <v/>
      </c>
      <c r="G419" s="16"/>
      <c r="H419" s="8" t="str">
        <f>IF(E419="","",IFERROR(INDEX(食材マスタ!$H$10:$H$309,MATCH(E419,食材マスタ!$C$10:$C$309,0)),""))</f>
        <v/>
      </c>
      <c r="I419" s="15" t="str">
        <f>IF(E419="","",IFERROR(INDEX(食材マスタ!$K$10:$K$309,MATCH(E419,食材マスタ!$C$10:$C$309,0)),""))</f>
        <v/>
      </c>
      <c r="J419" s="15" t="str">
        <f t="shared" si="30"/>
        <v/>
      </c>
      <c r="K419" s="20"/>
      <c r="L419" s="8" t="str">
        <f t="shared" si="31"/>
        <v/>
      </c>
      <c r="M419" s="9"/>
      <c r="N419" s="13" t="str">
        <f t="shared" si="32"/>
        <v/>
      </c>
      <c r="O419" s="22" t="str">
        <f t="shared" ca="1" si="33"/>
        <v/>
      </c>
      <c r="P419" s="17" t="str">
        <f t="shared" si="34"/>
        <v/>
      </c>
      <c r="Q419" s="11"/>
      <c r="R419" s="19"/>
      <c r="S419" s="19"/>
      <c r="U419">
        <f ca="1">IF(AND(ISNUMBER(O419),O419&lt;=設定!$C$4),1,0)</f>
        <v>0</v>
      </c>
      <c r="V419" t="str">
        <f ca="1">IF(U419=1,SUM($U$10:U419),"")</f>
        <v/>
      </c>
    </row>
    <row r="420" spans="2:22">
      <c r="B420" s="8" t="str">
        <f>IF(C420="","",COUNT($C$10:C420))</f>
        <v/>
      </c>
      <c r="C420" s="20"/>
      <c r="D420" s="11"/>
      <c r="E420" s="9"/>
      <c r="F420" s="21" t="str">
        <f>IF(E420="","",IFERROR(INDEX(食材マスタ!$D$10:$D$309,MATCH(E420,食材マスタ!$C$10:$C$309,0)),"※コード未登録"))</f>
        <v/>
      </c>
      <c r="G420" s="16"/>
      <c r="H420" s="8" t="str">
        <f>IF(E420="","",IFERROR(INDEX(食材マスタ!$H$10:$H$309,MATCH(E420,食材マスタ!$C$10:$C$309,0)),""))</f>
        <v/>
      </c>
      <c r="I420" s="15" t="str">
        <f>IF(E420="","",IFERROR(INDEX(食材マスタ!$K$10:$K$309,MATCH(E420,食材マスタ!$C$10:$C$309,0)),""))</f>
        <v/>
      </c>
      <c r="J420" s="15" t="str">
        <f t="shared" si="30"/>
        <v/>
      </c>
      <c r="K420" s="20"/>
      <c r="L420" s="8" t="str">
        <f t="shared" si="31"/>
        <v/>
      </c>
      <c r="M420" s="9"/>
      <c r="N420" s="13" t="str">
        <f t="shared" si="32"/>
        <v/>
      </c>
      <c r="O420" s="22" t="str">
        <f t="shared" ca="1" si="33"/>
        <v/>
      </c>
      <c r="P420" s="17" t="str">
        <f t="shared" si="34"/>
        <v/>
      </c>
      <c r="Q420" s="11"/>
      <c r="R420" s="19"/>
      <c r="S420" s="19"/>
      <c r="U420">
        <f ca="1">IF(AND(ISNUMBER(O420),O420&lt;=設定!$C$4),1,0)</f>
        <v>0</v>
      </c>
      <c r="V420" t="str">
        <f ca="1">IF(U420=1,SUM($U$10:U420),"")</f>
        <v/>
      </c>
    </row>
    <row r="421" spans="2:22">
      <c r="B421" s="8" t="str">
        <f>IF(C421="","",COUNT($C$10:C421))</f>
        <v/>
      </c>
      <c r="C421" s="20"/>
      <c r="D421" s="11"/>
      <c r="E421" s="9"/>
      <c r="F421" s="21" t="str">
        <f>IF(E421="","",IFERROR(INDEX(食材マスタ!$D$10:$D$309,MATCH(E421,食材マスタ!$C$10:$C$309,0)),"※コード未登録"))</f>
        <v/>
      </c>
      <c r="G421" s="16"/>
      <c r="H421" s="8" t="str">
        <f>IF(E421="","",IFERROR(INDEX(食材マスタ!$H$10:$H$309,MATCH(E421,食材マスタ!$C$10:$C$309,0)),""))</f>
        <v/>
      </c>
      <c r="I421" s="15" t="str">
        <f>IF(E421="","",IFERROR(INDEX(食材マスタ!$K$10:$K$309,MATCH(E421,食材マスタ!$C$10:$C$309,0)),""))</f>
        <v/>
      </c>
      <c r="J421" s="15" t="str">
        <f t="shared" si="30"/>
        <v/>
      </c>
      <c r="K421" s="20"/>
      <c r="L421" s="8" t="str">
        <f t="shared" si="31"/>
        <v/>
      </c>
      <c r="M421" s="9"/>
      <c r="N421" s="13" t="str">
        <f t="shared" si="32"/>
        <v/>
      </c>
      <c r="O421" s="22" t="str">
        <f t="shared" ca="1" si="33"/>
        <v/>
      </c>
      <c r="P421" s="17" t="str">
        <f t="shared" si="34"/>
        <v/>
      </c>
      <c r="Q421" s="11"/>
      <c r="R421" s="19"/>
      <c r="S421" s="19"/>
      <c r="U421">
        <f ca="1">IF(AND(ISNUMBER(O421),O421&lt;=設定!$C$4),1,0)</f>
        <v>0</v>
      </c>
      <c r="V421" t="str">
        <f ca="1">IF(U421=1,SUM($U$10:U421),"")</f>
        <v/>
      </c>
    </row>
    <row r="422" spans="2:22">
      <c r="B422" s="8" t="str">
        <f>IF(C422="","",COUNT($C$10:C422))</f>
        <v/>
      </c>
      <c r="C422" s="20"/>
      <c r="D422" s="11"/>
      <c r="E422" s="9"/>
      <c r="F422" s="21" t="str">
        <f>IF(E422="","",IFERROR(INDEX(食材マスタ!$D$10:$D$309,MATCH(E422,食材マスタ!$C$10:$C$309,0)),"※コード未登録"))</f>
        <v/>
      </c>
      <c r="G422" s="16"/>
      <c r="H422" s="8" t="str">
        <f>IF(E422="","",IFERROR(INDEX(食材マスタ!$H$10:$H$309,MATCH(E422,食材マスタ!$C$10:$C$309,0)),""))</f>
        <v/>
      </c>
      <c r="I422" s="15" t="str">
        <f>IF(E422="","",IFERROR(INDEX(食材マスタ!$K$10:$K$309,MATCH(E422,食材マスタ!$C$10:$C$309,0)),""))</f>
        <v/>
      </c>
      <c r="J422" s="15" t="str">
        <f t="shared" si="30"/>
        <v/>
      </c>
      <c r="K422" s="20"/>
      <c r="L422" s="8" t="str">
        <f t="shared" si="31"/>
        <v/>
      </c>
      <c r="M422" s="9"/>
      <c r="N422" s="13" t="str">
        <f t="shared" si="32"/>
        <v/>
      </c>
      <c r="O422" s="22" t="str">
        <f t="shared" ca="1" si="33"/>
        <v/>
      </c>
      <c r="P422" s="17" t="str">
        <f t="shared" si="34"/>
        <v/>
      </c>
      <c r="Q422" s="11"/>
      <c r="R422" s="19"/>
      <c r="S422" s="19"/>
      <c r="U422">
        <f ca="1">IF(AND(ISNUMBER(O422),O422&lt;=設定!$C$4),1,0)</f>
        <v>0</v>
      </c>
      <c r="V422" t="str">
        <f ca="1">IF(U422=1,SUM($U$10:U422),"")</f>
        <v/>
      </c>
    </row>
    <row r="423" spans="2:22">
      <c r="B423" s="8" t="str">
        <f>IF(C423="","",COUNT($C$10:C423))</f>
        <v/>
      </c>
      <c r="C423" s="20"/>
      <c r="D423" s="11"/>
      <c r="E423" s="9"/>
      <c r="F423" s="21" t="str">
        <f>IF(E423="","",IFERROR(INDEX(食材マスタ!$D$10:$D$309,MATCH(E423,食材マスタ!$C$10:$C$309,0)),"※コード未登録"))</f>
        <v/>
      </c>
      <c r="G423" s="16"/>
      <c r="H423" s="8" t="str">
        <f>IF(E423="","",IFERROR(INDEX(食材マスタ!$H$10:$H$309,MATCH(E423,食材マスタ!$C$10:$C$309,0)),""))</f>
        <v/>
      </c>
      <c r="I423" s="15" t="str">
        <f>IF(E423="","",IFERROR(INDEX(食材マスタ!$K$10:$K$309,MATCH(E423,食材マスタ!$C$10:$C$309,0)),""))</f>
        <v/>
      </c>
      <c r="J423" s="15" t="str">
        <f t="shared" si="30"/>
        <v/>
      </c>
      <c r="K423" s="20"/>
      <c r="L423" s="8" t="str">
        <f t="shared" si="31"/>
        <v/>
      </c>
      <c r="M423" s="9"/>
      <c r="N423" s="13" t="str">
        <f t="shared" si="32"/>
        <v/>
      </c>
      <c r="O423" s="22" t="str">
        <f t="shared" ca="1" si="33"/>
        <v/>
      </c>
      <c r="P423" s="17" t="str">
        <f t="shared" si="34"/>
        <v/>
      </c>
      <c r="Q423" s="11"/>
      <c r="R423" s="19"/>
      <c r="S423" s="19"/>
      <c r="U423">
        <f ca="1">IF(AND(ISNUMBER(O423),O423&lt;=設定!$C$4),1,0)</f>
        <v>0</v>
      </c>
      <c r="V423" t="str">
        <f ca="1">IF(U423=1,SUM($U$10:U423),"")</f>
        <v/>
      </c>
    </row>
    <row r="424" spans="2:22">
      <c r="B424" s="8" t="str">
        <f>IF(C424="","",COUNT($C$10:C424))</f>
        <v/>
      </c>
      <c r="C424" s="20"/>
      <c r="D424" s="11"/>
      <c r="E424" s="9"/>
      <c r="F424" s="21" t="str">
        <f>IF(E424="","",IFERROR(INDEX(食材マスタ!$D$10:$D$309,MATCH(E424,食材マスタ!$C$10:$C$309,0)),"※コード未登録"))</f>
        <v/>
      </c>
      <c r="G424" s="16"/>
      <c r="H424" s="8" t="str">
        <f>IF(E424="","",IFERROR(INDEX(食材マスタ!$H$10:$H$309,MATCH(E424,食材マスタ!$C$10:$C$309,0)),""))</f>
        <v/>
      </c>
      <c r="I424" s="15" t="str">
        <f>IF(E424="","",IFERROR(INDEX(食材マスタ!$K$10:$K$309,MATCH(E424,食材マスタ!$C$10:$C$309,0)),""))</f>
        <v/>
      </c>
      <c r="J424" s="15" t="str">
        <f t="shared" si="30"/>
        <v/>
      </c>
      <c r="K424" s="20"/>
      <c r="L424" s="8" t="str">
        <f t="shared" si="31"/>
        <v/>
      </c>
      <c r="M424" s="9"/>
      <c r="N424" s="13" t="str">
        <f t="shared" si="32"/>
        <v/>
      </c>
      <c r="O424" s="22" t="str">
        <f t="shared" ca="1" si="33"/>
        <v/>
      </c>
      <c r="P424" s="17" t="str">
        <f t="shared" si="34"/>
        <v/>
      </c>
      <c r="Q424" s="11"/>
      <c r="R424" s="19"/>
      <c r="S424" s="19"/>
      <c r="U424">
        <f ca="1">IF(AND(ISNUMBER(O424),O424&lt;=設定!$C$4),1,0)</f>
        <v>0</v>
      </c>
      <c r="V424" t="str">
        <f ca="1">IF(U424=1,SUM($U$10:U424),"")</f>
        <v/>
      </c>
    </row>
    <row r="425" spans="2:22">
      <c r="B425" s="8" t="str">
        <f>IF(C425="","",COUNT($C$10:C425))</f>
        <v/>
      </c>
      <c r="C425" s="20"/>
      <c r="D425" s="11"/>
      <c r="E425" s="9"/>
      <c r="F425" s="21" t="str">
        <f>IF(E425="","",IFERROR(INDEX(食材マスタ!$D$10:$D$309,MATCH(E425,食材マスタ!$C$10:$C$309,0)),"※コード未登録"))</f>
        <v/>
      </c>
      <c r="G425" s="16"/>
      <c r="H425" s="8" t="str">
        <f>IF(E425="","",IFERROR(INDEX(食材マスタ!$H$10:$H$309,MATCH(E425,食材マスタ!$C$10:$C$309,0)),""))</f>
        <v/>
      </c>
      <c r="I425" s="15" t="str">
        <f>IF(E425="","",IFERROR(INDEX(食材マスタ!$K$10:$K$309,MATCH(E425,食材マスタ!$C$10:$C$309,0)),""))</f>
        <v/>
      </c>
      <c r="J425" s="15" t="str">
        <f t="shared" si="30"/>
        <v/>
      </c>
      <c r="K425" s="20"/>
      <c r="L425" s="8" t="str">
        <f t="shared" si="31"/>
        <v/>
      </c>
      <c r="M425" s="9"/>
      <c r="N425" s="13" t="str">
        <f t="shared" si="32"/>
        <v/>
      </c>
      <c r="O425" s="22" t="str">
        <f t="shared" ca="1" si="33"/>
        <v/>
      </c>
      <c r="P425" s="17" t="str">
        <f t="shared" si="34"/>
        <v/>
      </c>
      <c r="Q425" s="11"/>
      <c r="R425" s="19"/>
      <c r="S425" s="19"/>
      <c r="U425">
        <f ca="1">IF(AND(ISNUMBER(O425),O425&lt;=設定!$C$4),1,0)</f>
        <v>0</v>
      </c>
      <c r="V425" t="str">
        <f ca="1">IF(U425=1,SUM($U$10:U425),"")</f>
        <v/>
      </c>
    </row>
    <row r="426" spans="2:22">
      <c r="B426" s="8" t="str">
        <f>IF(C426="","",COUNT($C$10:C426))</f>
        <v/>
      </c>
      <c r="C426" s="20"/>
      <c r="D426" s="11"/>
      <c r="E426" s="9"/>
      <c r="F426" s="21" t="str">
        <f>IF(E426="","",IFERROR(INDEX(食材マスタ!$D$10:$D$309,MATCH(E426,食材マスタ!$C$10:$C$309,0)),"※コード未登録"))</f>
        <v/>
      </c>
      <c r="G426" s="16"/>
      <c r="H426" s="8" t="str">
        <f>IF(E426="","",IFERROR(INDEX(食材マスタ!$H$10:$H$309,MATCH(E426,食材マスタ!$C$10:$C$309,0)),""))</f>
        <v/>
      </c>
      <c r="I426" s="15" t="str">
        <f>IF(E426="","",IFERROR(INDEX(食材マスタ!$K$10:$K$309,MATCH(E426,食材マスタ!$C$10:$C$309,0)),""))</f>
        <v/>
      </c>
      <c r="J426" s="15" t="str">
        <f t="shared" si="30"/>
        <v/>
      </c>
      <c r="K426" s="20"/>
      <c r="L426" s="8" t="str">
        <f t="shared" si="31"/>
        <v/>
      </c>
      <c r="M426" s="9"/>
      <c r="N426" s="13" t="str">
        <f t="shared" si="32"/>
        <v/>
      </c>
      <c r="O426" s="22" t="str">
        <f t="shared" ca="1" si="33"/>
        <v/>
      </c>
      <c r="P426" s="17" t="str">
        <f t="shared" si="34"/>
        <v/>
      </c>
      <c r="Q426" s="11"/>
      <c r="R426" s="19"/>
      <c r="S426" s="19"/>
      <c r="U426">
        <f ca="1">IF(AND(ISNUMBER(O426),O426&lt;=設定!$C$4),1,0)</f>
        <v>0</v>
      </c>
      <c r="V426" t="str">
        <f ca="1">IF(U426=1,SUM($U$10:U426),"")</f>
        <v/>
      </c>
    </row>
    <row r="427" spans="2:22">
      <c r="B427" s="8" t="str">
        <f>IF(C427="","",COUNT($C$10:C427))</f>
        <v/>
      </c>
      <c r="C427" s="20"/>
      <c r="D427" s="11"/>
      <c r="E427" s="9"/>
      <c r="F427" s="21" t="str">
        <f>IF(E427="","",IFERROR(INDEX(食材マスタ!$D$10:$D$309,MATCH(E427,食材マスタ!$C$10:$C$309,0)),"※コード未登録"))</f>
        <v/>
      </c>
      <c r="G427" s="16"/>
      <c r="H427" s="8" t="str">
        <f>IF(E427="","",IFERROR(INDEX(食材マスタ!$H$10:$H$309,MATCH(E427,食材マスタ!$C$10:$C$309,0)),""))</f>
        <v/>
      </c>
      <c r="I427" s="15" t="str">
        <f>IF(E427="","",IFERROR(INDEX(食材マスタ!$K$10:$K$309,MATCH(E427,食材マスタ!$C$10:$C$309,0)),""))</f>
        <v/>
      </c>
      <c r="J427" s="15" t="str">
        <f t="shared" si="30"/>
        <v/>
      </c>
      <c r="K427" s="20"/>
      <c r="L427" s="8" t="str">
        <f t="shared" si="31"/>
        <v/>
      </c>
      <c r="M427" s="9"/>
      <c r="N427" s="13" t="str">
        <f t="shared" si="32"/>
        <v/>
      </c>
      <c r="O427" s="22" t="str">
        <f t="shared" ca="1" si="33"/>
        <v/>
      </c>
      <c r="P427" s="17" t="str">
        <f t="shared" si="34"/>
        <v/>
      </c>
      <c r="Q427" s="11"/>
      <c r="R427" s="19"/>
      <c r="S427" s="19"/>
      <c r="U427">
        <f ca="1">IF(AND(ISNUMBER(O427),O427&lt;=設定!$C$4),1,0)</f>
        <v>0</v>
      </c>
      <c r="V427" t="str">
        <f ca="1">IF(U427=1,SUM($U$10:U427),"")</f>
        <v/>
      </c>
    </row>
    <row r="428" spans="2:22">
      <c r="B428" s="8" t="str">
        <f>IF(C428="","",COUNT($C$10:C428))</f>
        <v/>
      </c>
      <c r="C428" s="20"/>
      <c r="D428" s="11"/>
      <c r="E428" s="9"/>
      <c r="F428" s="21" t="str">
        <f>IF(E428="","",IFERROR(INDEX(食材マスタ!$D$10:$D$309,MATCH(E428,食材マスタ!$C$10:$C$309,0)),"※コード未登録"))</f>
        <v/>
      </c>
      <c r="G428" s="16"/>
      <c r="H428" s="8" t="str">
        <f>IF(E428="","",IFERROR(INDEX(食材マスタ!$H$10:$H$309,MATCH(E428,食材マスタ!$C$10:$C$309,0)),""))</f>
        <v/>
      </c>
      <c r="I428" s="15" t="str">
        <f>IF(E428="","",IFERROR(INDEX(食材マスタ!$K$10:$K$309,MATCH(E428,食材マスタ!$C$10:$C$309,0)),""))</f>
        <v/>
      </c>
      <c r="J428" s="15" t="str">
        <f t="shared" si="30"/>
        <v/>
      </c>
      <c r="K428" s="20"/>
      <c r="L428" s="8" t="str">
        <f t="shared" si="31"/>
        <v/>
      </c>
      <c r="M428" s="9"/>
      <c r="N428" s="13" t="str">
        <f t="shared" si="32"/>
        <v/>
      </c>
      <c r="O428" s="22" t="str">
        <f t="shared" ca="1" si="33"/>
        <v/>
      </c>
      <c r="P428" s="17" t="str">
        <f t="shared" si="34"/>
        <v/>
      </c>
      <c r="Q428" s="11"/>
      <c r="R428" s="19"/>
      <c r="S428" s="19"/>
      <c r="U428">
        <f ca="1">IF(AND(ISNUMBER(O428),O428&lt;=設定!$C$4),1,0)</f>
        <v>0</v>
      </c>
      <c r="V428" t="str">
        <f ca="1">IF(U428=1,SUM($U$10:U428),"")</f>
        <v/>
      </c>
    </row>
    <row r="429" spans="2:22">
      <c r="B429" s="8" t="str">
        <f>IF(C429="","",COUNT($C$10:C429))</f>
        <v/>
      </c>
      <c r="C429" s="20"/>
      <c r="D429" s="11"/>
      <c r="E429" s="9"/>
      <c r="F429" s="21" t="str">
        <f>IF(E429="","",IFERROR(INDEX(食材マスタ!$D$10:$D$309,MATCH(E429,食材マスタ!$C$10:$C$309,0)),"※コード未登録"))</f>
        <v/>
      </c>
      <c r="G429" s="16"/>
      <c r="H429" s="8" t="str">
        <f>IF(E429="","",IFERROR(INDEX(食材マスタ!$H$10:$H$309,MATCH(E429,食材マスタ!$C$10:$C$309,0)),""))</f>
        <v/>
      </c>
      <c r="I429" s="15" t="str">
        <f>IF(E429="","",IFERROR(INDEX(食材マスタ!$K$10:$K$309,MATCH(E429,食材マスタ!$C$10:$C$309,0)),""))</f>
        <v/>
      </c>
      <c r="J429" s="15" t="str">
        <f t="shared" si="30"/>
        <v/>
      </c>
      <c r="K429" s="20"/>
      <c r="L429" s="8" t="str">
        <f t="shared" si="31"/>
        <v/>
      </c>
      <c r="M429" s="9"/>
      <c r="N429" s="13" t="str">
        <f t="shared" si="32"/>
        <v/>
      </c>
      <c r="O429" s="22" t="str">
        <f t="shared" ca="1" si="33"/>
        <v/>
      </c>
      <c r="P429" s="17" t="str">
        <f t="shared" si="34"/>
        <v/>
      </c>
      <c r="Q429" s="11"/>
      <c r="R429" s="19"/>
      <c r="S429" s="19"/>
      <c r="U429">
        <f ca="1">IF(AND(ISNUMBER(O429),O429&lt;=設定!$C$4),1,0)</f>
        <v>0</v>
      </c>
      <c r="V429" t="str">
        <f ca="1">IF(U429=1,SUM($U$10:U429),"")</f>
        <v/>
      </c>
    </row>
    <row r="430" spans="2:22">
      <c r="B430" s="8" t="str">
        <f>IF(C430="","",COUNT($C$10:C430))</f>
        <v/>
      </c>
      <c r="C430" s="20"/>
      <c r="D430" s="11"/>
      <c r="E430" s="9"/>
      <c r="F430" s="21" t="str">
        <f>IF(E430="","",IFERROR(INDEX(食材マスタ!$D$10:$D$309,MATCH(E430,食材マスタ!$C$10:$C$309,0)),"※コード未登録"))</f>
        <v/>
      </c>
      <c r="G430" s="16"/>
      <c r="H430" s="8" t="str">
        <f>IF(E430="","",IFERROR(INDEX(食材マスタ!$H$10:$H$309,MATCH(E430,食材マスタ!$C$10:$C$309,0)),""))</f>
        <v/>
      </c>
      <c r="I430" s="15" t="str">
        <f>IF(E430="","",IFERROR(INDEX(食材マスタ!$K$10:$K$309,MATCH(E430,食材マスタ!$C$10:$C$309,0)),""))</f>
        <v/>
      </c>
      <c r="J430" s="15" t="str">
        <f t="shared" si="30"/>
        <v/>
      </c>
      <c r="K430" s="20"/>
      <c r="L430" s="8" t="str">
        <f t="shared" si="31"/>
        <v/>
      </c>
      <c r="M430" s="9"/>
      <c r="N430" s="13" t="str">
        <f t="shared" si="32"/>
        <v/>
      </c>
      <c r="O430" s="22" t="str">
        <f t="shared" ca="1" si="33"/>
        <v/>
      </c>
      <c r="P430" s="17" t="str">
        <f t="shared" si="34"/>
        <v/>
      </c>
      <c r="Q430" s="11"/>
      <c r="R430" s="19"/>
      <c r="S430" s="19"/>
      <c r="U430">
        <f ca="1">IF(AND(ISNUMBER(O430),O430&lt;=設定!$C$4),1,0)</f>
        <v>0</v>
      </c>
      <c r="V430" t="str">
        <f ca="1">IF(U430=1,SUM($U$10:U430),"")</f>
        <v/>
      </c>
    </row>
    <row r="431" spans="2:22">
      <c r="B431" s="8" t="str">
        <f>IF(C431="","",COUNT($C$10:C431))</f>
        <v/>
      </c>
      <c r="C431" s="20"/>
      <c r="D431" s="11"/>
      <c r="E431" s="9"/>
      <c r="F431" s="21" t="str">
        <f>IF(E431="","",IFERROR(INDEX(食材マスタ!$D$10:$D$309,MATCH(E431,食材マスタ!$C$10:$C$309,0)),"※コード未登録"))</f>
        <v/>
      </c>
      <c r="G431" s="16"/>
      <c r="H431" s="8" t="str">
        <f>IF(E431="","",IFERROR(INDEX(食材マスタ!$H$10:$H$309,MATCH(E431,食材マスタ!$C$10:$C$309,0)),""))</f>
        <v/>
      </c>
      <c r="I431" s="15" t="str">
        <f>IF(E431="","",IFERROR(INDEX(食材マスタ!$K$10:$K$309,MATCH(E431,食材マスタ!$C$10:$C$309,0)),""))</f>
        <v/>
      </c>
      <c r="J431" s="15" t="str">
        <f t="shared" si="30"/>
        <v/>
      </c>
      <c r="K431" s="20"/>
      <c r="L431" s="8" t="str">
        <f t="shared" si="31"/>
        <v/>
      </c>
      <c r="M431" s="9"/>
      <c r="N431" s="13" t="str">
        <f t="shared" si="32"/>
        <v/>
      </c>
      <c r="O431" s="22" t="str">
        <f t="shared" ca="1" si="33"/>
        <v/>
      </c>
      <c r="P431" s="17" t="str">
        <f t="shared" si="34"/>
        <v/>
      </c>
      <c r="Q431" s="11"/>
      <c r="R431" s="19"/>
      <c r="S431" s="19"/>
      <c r="U431">
        <f ca="1">IF(AND(ISNUMBER(O431),O431&lt;=設定!$C$4),1,0)</f>
        <v>0</v>
      </c>
      <c r="V431" t="str">
        <f ca="1">IF(U431=1,SUM($U$10:U431),"")</f>
        <v/>
      </c>
    </row>
    <row r="432" spans="2:22">
      <c r="B432" s="8" t="str">
        <f>IF(C432="","",COUNT($C$10:C432))</f>
        <v/>
      </c>
      <c r="C432" s="20"/>
      <c r="D432" s="11"/>
      <c r="E432" s="9"/>
      <c r="F432" s="21" t="str">
        <f>IF(E432="","",IFERROR(INDEX(食材マスタ!$D$10:$D$309,MATCH(E432,食材マスタ!$C$10:$C$309,0)),"※コード未登録"))</f>
        <v/>
      </c>
      <c r="G432" s="16"/>
      <c r="H432" s="8" t="str">
        <f>IF(E432="","",IFERROR(INDEX(食材マスタ!$H$10:$H$309,MATCH(E432,食材マスタ!$C$10:$C$309,0)),""))</f>
        <v/>
      </c>
      <c r="I432" s="15" t="str">
        <f>IF(E432="","",IFERROR(INDEX(食材マスタ!$K$10:$K$309,MATCH(E432,食材マスタ!$C$10:$C$309,0)),""))</f>
        <v/>
      </c>
      <c r="J432" s="15" t="str">
        <f t="shared" si="30"/>
        <v/>
      </c>
      <c r="K432" s="20"/>
      <c r="L432" s="8" t="str">
        <f t="shared" si="31"/>
        <v/>
      </c>
      <c r="M432" s="9"/>
      <c r="N432" s="13" t="str">
        <f t="shared" si="32"/>
        <v/>
      </c>
      <c r="O432" s="22" t="str">
        <f t="shared" ca="1" si="33"/>
        <v/>
      </c>
      <c r="P432" s="17" t="str">
        <f t="shared" si="34"/>
        <v/>
      </c>
      <c r="Q432" s="11"/>
      <c r="R432" s="19"/>
      <c r="S432" s="19"/>
      <c r="U432">
        <f ca="1">IF(AND(ISNUMBER(O432),O432&lt;=設定!$C$4),1,0)</f>
        <v>0</v>
      </c>
      <c r="V432" t="str">
        <f ca="1">IF(U432=1,SUM($U$10:U432),"")</f>
        <v/>
      </c>
    </row>
    <row r="433" spans="2:22">
      <c r="B433" s="8" t="str">
        <f>IF(C433="","",COUNT($C$10:C433))</f>
        <v/>
      </c>
      <c r="C433" s="20"/>
      <c r="D433" s="11"/>
      <c r="E433" s="9"/>
      <c r="F433" s="21" t="str">
        <f>IF(E433="","",IFERROR(INDEX(食材マスタ!$D$10:$D$309,MATCH(E433,食材マスタ!$C$10:$C$309,0)),"※コード未登録"))</f>
        <v/>
      </c>
      <c r="G433" s="16"/>
      <c r="H433" s="8" t="str">
        <f>IF(E433="","",IFERROR(INDEX(食材マスタ!$H$10:$H$309,MATCH(E433,食材マスタ!$C$10:$C$309,0)),""))</f>
        <v/>
      </c>
      <c r="I433" s="15" t="str">
        <f>IF(E433="","",IFERROR(INDEX(食材マスタ!$K$10:$K$309,MATCH(E433,食材マスタ!$C$10:$C$309,0)),""))</f>
        <v/>
      </c>
      <c r="J433" s="15" t="str">
        <f t="shared" si="30"/>
        <v/>
      </c>
      <c r="K433" s="20"/>
      <c r="L433" s="8" t="str">
        <f t="shared" si="31"/>
        <v/>
      </c>
      <c r="M433" s="9"/>
      <c r="N433" s="13" t="str">
        <f t="shared" si="32"/>
        <v/>
      </c>
      <c r="O433" s="22" t="str">
        <f t="shared" ca="1" si="33"/>
        <v/>
      </c>
      <c r="P433" s="17" t="str">
        <f t="shared" si="34"/>
        <v/>
      </c>
      <c r="Q433" s="11"/>
      <c r="R433" s="19"/>
      <c r="S433" s="19"/>
      <c r="U433">
        <f ca="1">IF(AND(ISNUMBER(O433),O433&lt;=設定!$C$4),1,0)</f>
        <v>0</v>
      </c>
      <c r="V433" t="str">
        <f ca="1">IF(U433=1,SUM($U$10:U433),"")</f>
        <v/>
      </c>
    </row>
    <row r="434" spans="2:22">
      <c r="B434" s="8" t="str">
        <f>IF(C434="","",COUNT($C$10:C434))</f>
        <v/>
      </c>
      <c r="C434" s="20"/>
      <c r="D434" s="11"/>
      <c r="E434" s="9"/>
      <c r="F434" s="21" t="str">
        <f>IF(E434="","",IFERROR(INDEX(食材マスタ!$D$10:$D$309,MATCH(E434,食材マスタ!$C$10:$C$309,0)),"※コード未登録"))</f>
        <v/>
      </c>
      <c r="G434" s="16"/>
      <c r="H434" s="8" t="str">
        <f>IF(E434="","",IFERROR(INDEX(食材マスタ!$H$10:$H$309,MATCH(E434,食材マスタ!$C$10:$C$309,0)),""))</f>
        <v/>
      </c>
      <c r="I434" s="15" t="str">
        <f>IF(E434="","",IFERROR(INDEX(食材マスタ!$K$10:$K$309,MATCH(E434,食材マスタ!$C$10:$C$309,0)),""))</f>
        <v/>
      </c>
      <c r="J434" s="15" t="str">
        <f t="shared" si="30"/>
        <v/>
      </c>
      <c r="K434" s="20"/>
      <c r="L434" s="8" t="str">
        <f t="shared" si="31"/>
        <v/>
      </c>
      <c r="M434" s="9"/>
      <c r="N434" s="13" t="str">
        <f t="shared" si="32"/>
        <v/>
      </c>
      <c r="O434" s="22" t="str">
        <f t="shared" ca="1" si="33"/>
        <v/>
      </c>
      <c r="P434" s="17" t="str">
        <f t="shared" si="34"/>
        <v/>
      </c>
      <c r="Q434" s="11"/>
      <c r="R434" s="19"/>
      <c r="S434" s="19"/>
      <c r="U434">
        <f ca="1">IF(AND(ISNUMBER(O434),O434&lt;=設定!$C$4),1,0)</f>
        <v>0</v>
      </c>
      <c r="V434" t="str">
        <f ca="1">IF(U434=1,SUM($U$10:U434),"")</f>
        <v/>
      </c>
    </row>
    <row r="435" spans="2:22">
      <c r="B435" s="8" t="str">
        <f>IF(C435="","",COUNT($C$10:C435))</f>
        <v/>
      </c>
      <c r="C435" s="20"/>
      <c r="D435" s="11"/>
      <c r="E435" s="9"/>
      <c r="F435" s="21" t="str">
        <f>IF(E435="","",IFERROR(INDEX(食材マスタ!$D$10:$D$309,MATCH(E435,食材マスタ!$C$10:$C$309,0)),"※コード未登録"))</f>
        <v/>
      </c>
      <c r="G435" s="16"/>
      <c r="H435" s="8" t="str">
        <f>IF(E435="","",IFERROR(INDEX(食材マスタ!$H$10:$H$309,MATCH(E435,食材マスタ!$C$10:$C$309,0)),""))</f>
        <v/>
      </c>
      <c r="I435" s="15" t="str">
        <f>IF(E435="","",IFERROR(INDEX(食材マスタ!$K$10:$K$309,MATCH(E435,食材マスタ!$C$10:$C$309,0)),""))</f>
        <v/>
      </c>
      <c r="J435" s="15" t="str">
        <f t="shared" si="30"/>
        <v/>
      </c>
      <c r="K435" s="20"/>
      <c r="L435" s="8" t="str">
        <f t="shared" si="31"/>
        <v/>
      </c>
      <c r="M435" s="9"/>
      <c r="N435" s="13" t="str">
        <f t="shared" si="32"/>
        <v/>
      </c>
      <c r="O435" s="22" t="str">
        <f t="shared" ca="1" si="33"/>
        <v/>
      </c>
      <c r="P435" s="17" t="str">
        <f t="shared" si="34"/>
        <v/>
      </c>
      <c r="Q435" s="11"/>
      <c r="R435" s="19"/>
      <c r="S435" s="19"/>
      <c r="U435">
        <f ca="1">IF(AND(ISNUMBER(O435),O435&lt;=設定!$C$4),1,0)</f>
        <v>0</v>
      </c>
      <c r="V435" t="str">
        <f ca="1">IF(U435=1,SUM($U$10:U435),"")</f>
        <v/>
      </c>
    </row>
    <row r="436" spans="2:22">
      <c r="B436" s="8" t="str">
        <f>IF(C436="","",COUNT($C$10:C436))</f>
        <v/>
      </c>
      <c r="C436" s="20"/>
      <c r="D436" s="11"/>
      <c r="E436" s="9"/>
      <c r="F436" s="21" t="str">
        <f>IF(E436="","",IFERROR(INDEX(食材マスタ!$D$10:$D$309,MATCH(E436,食材マスタ!$C$10:$C$309,0)),"※コード未登録"))</f>
        <v/>
      </c>
      <c r="G436" s="16"/>
      <c r="H436" s="8" t="str">
        <f>IF(E436="","",IFERROR(INDEX(食材マスタ!$H$10:$H$309,MATCH(E436,食材マスタ!$C$10:$C$309,0)),""))</f>
        <v/>
      </c>
      <c r="I436" s="15" t="str">
        <f>IF(E436="","",IFERROR(INDEX(食材マスタ!$K$10:$K$309,MATCH(E436,食材マスタ!$C$10:$C$309,0)),""))</f>
        <v/>
      </c>
      <c r="J436" s="15" t="str">
        <f t="shared" si="30"/>
        <v/>
      </c>
      <c r="K436" s="20"/>
      <c r="L436" s="8" t="str">
        <f t="shared" si="31"/>
        <v/>
      </c>
      <c r="M436" s="9"/>
      <c r="N436" s="13" t="str">
        <f t="shared" si="32"/>
        <v/>
      </c>
      <c r="O436" s="22" t="str">
        <f t="shared" ca="1" si="33"/>
        <v/>
      </c>
      <c r="P436" s="17" t="str">
        <f t="shared" si="34"/>
        <v/>
      </c>
      <c r="Q436" s="11"/>
      <c r="R436" s="19"/>
      <c r="S436" s="19"/>
      <c r="U436">
        <f ca="1">IF(AND(ISNUMBER(O436),O436&lt;=設定!$C$4),1,0)</f>
        <v>0</v>
      </c>
      <c r="V436" t="str">
        <f ca="1">IF(U436=1,SUM($U$10:U436),"")</f>
        <v/>
      </c>
    </row>
    <row r="437" spans="2:22">
      <c r="B437" s="8" t="str">
        <f>IF(C437="","",COUNT($C$10:C437))</f>
        <v/>
      </c>
      <c r="C437" s="20"/>
      <c r="D437" s="11"/>
      <c r="E437" s="9"/>
      <c r="F437" s="21" t="str">
        <f>IF(E437="","",IFERROR(INDEX(食材マスタ!$D$10:$D$309,MATCH(E437,食材マスタ!$C$10:$C$309,0)),"※コード未登録"))</f>
        <v/>
      </c>
      <c r="G437" s="16"/>
      <c r="H437" s="8" t="str">
        <f>IF(E437="","",IFERROR(INDEX(食材マスタ!$H$10:$H$309,MATCH(E437,食材マスタ!$C$10:$C$309,0)),""))</f>
        <v/>
      </c>
      <c r="I437" s="15" t="str">
        <f>IF(E437="","",IFERROR(INDEX(食材マスタ!$K$10:$K$309,MATCH(E437,食材マスタ!$C$10:$C$309,0)),""))</f>
        <v/>
      </c>
      <c r="J437" s="15" t="str">
        <f t="shared" si="30"/>
        <v/>
      </c>
      <c r="K437" s="20"/>
      <c r="L437" s="8" t="str">
        <f t="shared" si="31"/>
        <v/>
      </c>
      <c r="M437" s="9"/>
      <c r="N437" s="13" t="str">
        <f t="shared" si="32"/>
        <v/>
      </c>
      <c r="O437" s="22" t="str">
        <f t="shared" ca="1" si="33"/>
        <v/>
      </c>
      <c r="P437" s="17" t="str">
        <f t="shared" si="34"/>
        <v/>
      </c>
      <c r="Q437" s="11"/>
      <c r="R437" s="19"/>
      <c r="S437" s="19"/>
      <c r="U437">
        <f ca="1">IF(AND(ISNUMBER(O437),O437&lt;=設定!$C$4),1,0)</f>
        <v>0</v>
      </c>
      <c r="V437" t="str">
        <f ca="1">IF(U437=1,SUM($U$10:U437),"")</f>
        <v/>
      </c>
    </row>
    <row r="438" spans="2:22">
      <c r="B438" s="8" t="str">
        <f>IF(C438="","",COUNT($C$10:C438))</f>
        <v/>
      </c>
      <c r="C438" s="20"/>
      <c r="D438" s="11"/>
      <c r="E438" s="9"/>
      <c r="F438" s="21" t="str">
        <f>IF(E438="","",IFERROR(INDEX(食材マスタ!$D$10:$D$309,MATCH(E438,食材マスタ!$C$10:$C$309,0)),"※コード未登録"))</f>
        <v/>
      </c>
      <c r="G438" s="16"/>
      <c r="H438" s="8" t="str">
        <f>IF(E438="","",IFERROR(INDEX(食材マスタ!$H$10:$H$309,MATCH(E438,食材マスタ!$C$10:$C$309,0)),""))</f>
        <v/>
      </c>
      <c r="I438" s="15" t="str">
        <f>IF(E438="","",IFERROR(INDEX(食材マスタ!$K$10:$K$309,MATCH(E438,食材マスタ!$C$10:$C$309,0)),""))</f>
        <v/>
      </c>
      <c r="J438" s="15" t="str">
        <f t="shared" si="30"/>
        <v/>
      </c>
      <c r="K438" s="20"/>
      <c r="L438" s="8" t="str">
        <f t="shared" si="31"/>
        <v/>
      </c>
      <c r="M438" s="9"/>
      <c r="N438" s="13" t="str">
        <f t="shared" si="32"/>
        <v/>
      </c>
      <c r="O438" s="22" t="str">
        <f t="shared" ca="1" si="33"/>
        <v/>
      </c>
      <c r="P438" s="17" t="str">
        <f t="shared" si="34"/>
        <v/>
      </c>
      <c r="Q438" s="11"/>
      <c r="R438" s="19"/>
      <c r="S438" s="19"/>
      <c r="U438">
        <f ca="1">IF(AND(ISNUMBER(O438),O438&lt;=設定!$C$4),1,0)</f>
        <v>0</v>
      </c>
      <c r="V438" t="str">
        <f ca="1">IF(U438=1,SUM($U$10:U438),"")</f>
        <v/>
      </c>
    </row>
    <row r="439" spans="2:22">
      <c r="B439" s="8" t="str">
        <f>IF(C439="","",COUNT($C$10:C439))</f>
        <v/>
      </c>
      <c r="C439" s="20"/>
      <c r="D439" s="11"/>
      <c r="E439" s="9"/>
      <c r="F439" s="21" t="str">
        <f>IF(E439="","",IFERROR(INDEX(食材マスタ!$D$10:$D$309,MATCH(E439,食材マスタ!$C$10:$C$309,0)),"※コード未登録"))</f>
        <v/>
      </c>
      <c r="G439" s="16"/>
      <c r="H439" s="8" t="str">
        <f>IF(E439="","",IFERROR(INDEX(食材マスタ!$H$10:$H$309,MATCH(E439,食材マスタ!$C$10:$C$309,0)),""))</f>
        <v/>
      </c>
      <c r="I439" s="15" t="str">
        <f>IF(E439="","",IFERROR(INDEX(食材マスタ!$K$10:$K$309,MATCH(E439,食材マスタ!$C$10:$C$309,0)),""))</f>
        <v/>
      </c>
      <c r="J439" s="15" t="str">
        <f t="shared" si="30"/>
        <v/>
      </c>
      <c r="K439" s="20"/>
      <c r="L439" s="8" t="str">
        <f t="shared" si="31"/>
        <v/>
      </c>
      <c r="M439" s="9"/>
      <c r="N439" s="13" t="str">
        <f t="shared" si="32"/>
        <v/>
      </c>
      <c r="O439" s="22" t="str">
        <f t="shared" ca="1" si="33"/>
        <v/>
      </c>
      <c r="P439" s="17" t="str">
        <f t="shared" si="34"/>
        <v/>
      </c>
      <c r="Q439" s="11"/>
      <c r="R439" s="19"/>
      <c r="S439" s="19"/>
      <c r="U439">
        <f ca="1">IF(AND(ISNUMBER(O439),O439&lt;=設定!$C$4),1,0)</f>
        <v>0</v>
      </c>
      <c r="V439" t="str">
        <f ca="1">IF(U439=1,SUM($U$10:U439),"")</f>
        <v/>
      </c>
    </row>
    <row r="440" spans="2:22">
      <c r="B440" s="8" t="str">
        <f>IF(C440="","",COUNT($C$10:C440))</f>
        <v/>
      </c>
      <c r="C440" s="20"/>
      <c r="D440" s="11"/>
      <c r="E440" s="9"/>
      <c r="F440" s="21" t="str">
        <f>IF(E440="","",IFERROR(INDEX(食材マスタ!$D$10:$D$309,MATCH(E440,食材マスタ!$C$10:$C$309,0)),"※コード未登録"))</f>
        <v/>
      </c>
      <c r="G440" s="16"/>
      <c r="H440" s="8" t="str">
        <f>IF(E440="","",IFERROR(INDEX(食材マスタ!$H$10:$H$309,MATCH(E440,食材マスタ!$C$10:$C$309,0)),""))</f>
        <v/>
      </c>
      <c r="I440" s="15" t="str">
        <f>IF(E440="","",IFERROR(INDEX(食材マスタ!$K$10:$K$309,MATCH(E440,食材マスタ!$C$10:$C$309,0)),""))</f>
        <v/>
      </c>
      <c r="J440" s="15" t="str">
        <f t="shared" si="30"/>
        <v/>
      </c>
      <c r="K440" s="20"/>
      <c r="L440" s="8" t="str">
        <f t="shared" si="31"/>
        <v/>
      </c>
      <c r="M440" s="9"/>
      <c r="N440" s="13" t="str">
        <f t="shared" si="32"/>
        <v/>
      </c>
      <c r="O440" s="22" t="str">
        <f t="shared" ca="1" si="33"/>
        <v/>
      </c>
      <c r="P440" s="17" t="str">
        <f t="shared" si="34"/>
        <v/>
      </c>
      <c r="Q440" s="11"/>
      <c r="R440" s="19"/>
      <c r="S440" s="19"/>
      <c r="U440">
        <f ca="1">IF(AND(ISNUMBER(O440),O440&lt;=設定!$C$4),1,0)</f>
        <v>0</v>
      </c>
      <c r="V440" t="str">
        <f ca="1">IF(U440=1,SUM($U$10:U440),"")</f>
        <v/>
      </c>
    </row>
    <row r="441" spans="2:22">
      <c r="B441" s="8" t="str">
        <f>IF(C441="","",COUNT($C$10:C441))</f>
        <v/>
      </c>
      <c r="C441" s="20"/>
      <c r="D441" s="11"/>
      <c r="E441" s="9"/>
      <c r="F441" s="21" t="str">
        <f>IF(E441="","",IFERROR(INDEX(食材マスタ!$D$10:$D$309,MATCH(E441,食材マスタ!$C$10:$C$309,0)),"※コード未登録"))</f>
        <v/>
      </c>
      <c r="G441" s="16"/>
      <c r="H441" s="8" t="str">
        <f>IF(E441="","",IFERROR(INDEX(食材マスタ!$H$10:$H$309,MATCH(E441,食材マスタ!$C$10:$C$309,0)),""))</f>
        <v/>
      </c>
      <c r="I441" s="15" t="str">
        <f>IF(E441="","",IFERROR(INDEX(食材マスタ!$K$10:$K$309,MATCH(E441,食材マスタ!$C$10:$C$309,0)),""))</f>
        <v/>
      </c>
      <c r="J441" s="15" t="str">
        <f t="shared" si="30"/>
        <v/>
      </c>
      <c r="K441" s="20"/>
      <c r="L441" s="8" t="str">
        <f t="shared" si="31"/>
        <v/>
      </c>
      <c r="M441" s="9"/>
      <c r="N441" s="13" t="str">
        <f t="shared" si="32"/>
        <v/>
      </c>
      <c r="O441" s="22" t="str">
        <f t="shared" ca="1" si="33"/>
        <v/>
      </c>
      <c r="P441" s="17" t="str">
        <f t="shared" si="34"/>
        <v/>
      </c>
      <c r="Q441" s="11"/>
      <c r="R441" s="19"/>
      <c r="S441" s="19"/>
      <c r="U441">
        <f ca="1">IF(AND(ISNUMBER(O441),O441&lt;=設定!$C$4),1,0)</f>
        <v>0</v>
      </c>
      <c r="V441" t="str">
        <f ca="1">IF(U441=1,SUM($U$10:U441),"")</f>
        <v/>
      </c>
    </row>
    <row r="442" spans="2:22">
      <c r="B442" s="8" t="str">
        <f>IF(C442="","",COUNT($C$10:C442))</f>
        <v/>
      </c>
      <c r="C442" s="20"/>
      <c r="D442" s="11"/>
      <c r="E442" s="9"/>
      <c r="F442" s="21" t="str">
        <f>IF(E442="","",IFERROR(INDEX(食材マスタ!$D$10:$D$309,MATCH(E442,食材マスタ!$C$10:$C$309,0)),"※コード未登録"))</f>
        <v/>
      </c>
      <c r="G442" s="16"/>
      <c r="H442" s="8" t="str">
        <f>IF(E442="","",IFERROR(INDEX(食材マスタ!$H$10:$H$309,MATCH(E442,食材マスタ!$C$10:$C$309,0)),""))</f>
        <v/>
      </c>
      <c r="I442" s="15" t="str">
        <f>IF(E442="","",IFERROR(INDEX(食材マスタ!$K$10:$K$309,MATCH(E442,食材マスタ!$C$10:$C$309,0)),""))</f>
        <v/>
      </c>
      <c r="J442" s="15" t="str">
        <f t="shared" si="30"/>
        <v/>
      </c>
      <c r="K442" s="20"/>
      <c r="L442" s="8" t="str">
        <f t="shared" si="31"/>
        <v/>
      </c>
      <c r="M442" s="9"/>
      <c r="N442" s="13" t="str">
        <f t="shared" si="32"/>
        <v/>
      </c>
      <c r="O442" s="22" t="str">
        <f t="shared" ca="1" si="33"/>
        <v/>
      </c>
      <c r="P442" s="17" t="str">
        <f t="shared" si="34"/>
        <v/>
      </c>
      <c r="Q442" s="11"/>
      <c r="R442" s="19"/>
      <c r="S442" s="19"/>
      <c r="U442">
        <f ca="1">IF(AND(ISNUMBER(O442),O442&lt;=設定!$C$4),1,0)</f>
        <v>0</v>
      </c>
      <c r="V442" t="str">
        <f ca="1">IF(U442=1,SUM($U$10:U442),"")</f>
        <v/>
      </c>
    </row>
    <row r="443" spans="2:22">
      <c r="B443" s="8" t="str">
        <f>IF(C443="","",COUNT($C$10:C443))</f>
        <v/>
      </c>
      <c r="C443" s="20"/>
      <c r="D443" s="11"/>
      <c r="E443" s="9"/>
      <c r="F443" s="21" t="str">
        <f>IF(E443="","",IFERROR(INDEX(食材マスタ!$D$10:$D$309,MATCH(E443,食材マスタ!$C$10:$C$309,0)),"※コード未登録"))</f>
        <v/>
      </c>
      <c r="G443" s="16"/>
      <c r="H443" s="8" t="str">
        <f>IF(E443="","",IFERROR(INDEX(食材マスタ!$H$10:$H$309,MATCH(E443,食材マスタ!$C$10:$C$309,0)),""))</f>
        <v/>
      </c>
      <c r="I443" s="15" t="str">
        <f>IF(E443="","",IFERROR(INDEX(食材マスタ!$K$10:$K$309,MATCH(E443,食材マスタ!$C$10:$C$309,0)),""))</f>
        <v/>
      </c>
      <c r="J443" s="15" t="str">
        <f t="shared" si="30"/>
        <v/>
      </c>
      <c r="K443" s="20"/>
      <c r="L443" s="8" t="str">
        <f t="shared" si="31"/>
        <v/>
      </c>
      <c r="M443" s="9"/>
      <c r="N443" s="13" t="str">
        <f t="shared" si="32"/>
        <v/>
      </c>
      <c r="O443" s="22" t="str">
        <f t="shared" ca="1" si="33"/>
        <v/>
      </c>
      <c r="P443" s="17" t="str">
        <f t="shared" si="34"/>
        <v/>
      </c>
      <c r="Q443" s="11"/>
      <c r="R443" s="19"/>
      <c r="S443" s="19"/>
      <c r="U443">
        <f ca="1">IF(AND(ISNUMBER(O443),O443&lt;=設定!$C$4),1,0)</f>
        <v>0</v>
      </c>
      <c r="V443" t="str">
        <f ca="1">IF(U443=1,SUM($U$10:U443),"")</f>
        <v/>
      </c>
    </row>
    <row r="444" spans="2:22">
      <c r="B444" s="8" t="str">
        <f>IF(C444="","",COUNT($C$10:C444))</f>
        <v/>
      </c>
      <c r="C444" s="20"/>
      <c r="D444" s="11"/>
      <c r="E444" s="9"/>
      <c r="F444" s="21" t="str">
        <f>IF(E444="","",IFERROR(INDEX(食材マスタ!$D$10:$D$309,MATCH(E444,食材マスタ!$C$10:$C$309,0)),"※コード未登録"))</f>
        <v/>
      </c>
      <c r="G444" s="16"/>
      <c r="H444" s="8" t="str">
        <f>IF(E444="","",IFERROR(INDEX(食材マスタ!$H$10:$H$309,MATCH(E444,食材マスタ!$C$10:$C$309,0)),""))</f>
        <v/>
      </c>
      <c r="I444" s="15" t="str">
        <f>IF(E444="","",IFERROR(INDEX(食材マスタ!$K$10:$K$309,MATCH(E444,食材マスタ!$C$10:$C$309,0)),""))</f>
        <v/>
      </c>
      <c r="J444" s="15" t="str">
        <f t="shared" si="30"/>
        <v/>
      </c>
      <c r="K444" s="20"/>
      <c r="L444" s="8" t="str">
        <f t="shared" si="31"/>
        <v/>
      </c>
      <c r="M444" s="9"/>
      <c r="N444" s="13" t="str">
        <f t="shared" si="32"/>
        <v/>
      </c>
      <c r="O444" s="22" t="str">
        <f t="shared" ca="1" si="33"/>
        <v/>
      </c>
      <c r="P444" s="17" t="str">
        <f t="shared" si="34"/>
        <v/>
      </c>
      <c r="Q444" s="11"/>
      <c r="R444" s="19"/>
      <c r="S444" s="19"/>
      <c r="U444">
        <f ca="1">IF(AND(ISNUMBER(O444),O444&lt;=設定!$C$4),1,0)</f>
        <v>0</v>
      </c>
      <c r="V444" t="str">
        <f ca="1">IF(U444=1,SUM($U$10:U444),"")</f>
        <v/>
      </c>
    </row>
    <row r="445" spans="2:22">
      <c r="B445" s="8" t="str">
        <f>IF(C445="","",COUNT($C$10:C445))</f>
        <v/>
      </c>
      <c r="C445" s="20"/>
      <c r="D445" s="11"/>
      <c r="E445" s="9"/>
      <c r="F445" s="21" t="str">
        <f>IF(E445="","",IFERROR(INDEX(食材マスタ!$D$10:$D$309,MATCH(E445,食材マスタ!$C$10:$C$309,0)),"※コード未登録"))</f>
        <v/>
      </c>
      <c r="G445" s="16"/>
      <c r="H445" s="8" t="str">
        <f>IF(E445="","",IFERROR(INDEX(食材マスタ!$H$10:$H$309,MATCH(E445,食材マスタ!$C$10:$C$309,0)),""))</f>
        <v/>
      </c>
      <c r="I445" s="15" t="str">
        <f>IF(E445="","",IFERROR(INDEX(食材マスタ!$K$10:$K$309,MATCH(E445,食材マスタ!$C$10:$C$309,0)),""))</f>
        <v/>
      </c>
      <c r="J445" s="15" t="str">
        <f t="shared" si="30"/>
        <v/>
      </c>
      <c r="K445" s="20"/>
      <c r="L445" s="8" t="str">
        <f t="shared" si="31"/>
        <v/>
      </c>
      <c r="M445" s="9"/>
      <c r="N445" s="13" t="str">
        <f t="shared" si="32"/>
        <v/>
      </c>
      <c r="O445" s="22" t="str">
        <f t="shared" ca="1" si="33"/>
        <v/>
      </c>
      <c r="P445" s="17" t="str">
        <f t="shared" si="34"/>
        <v/>
      </c>
      <c r="Q445" s="11"/>
      <c r="R445" s="19"/>
      <c r="S445" s="19"/>
      <c r="U445">
        <f ca="1">IF(AND(ISNUMBER(O445),O445&lt;=設定!$C$4),1,0)</f>
        <v>0</v>
      </c>
      <c r="V445" t="str">
        <f ca="1">IF(U445=1,SUM($U$10:U445),"")</f>
        <v/>
      </c>
    </row>
    <row r="446" spans="2:22">
      <c r="B446" s="8" t="str">
        <f>IF(C446="","",COUNT($C$10:C446))</f>
        <v/>
      </c>
      <c r="C446" s="20"/>
      <c r="D446" s="11"/>
      <c r="E446" s="9"/>
      <c r="F446" s="21" t="str">
        <f>IF(E446="","",IFERROR(INDEX(食材マスタ!$D$10:$D$309,MATCH(E446,食材マスタ!$C$10:$C$309,0)),"※コード未登録"))</f>
        <v/>
      </c>
      <c r="G446" s="16"/>
      <c r="H446" s="8" t="str">
        <f>IF(E446="","",IFERROR(INDEX(食材マスタ!$H$10:$H$309,MATCH(E446,食材マスタ!$C$10:$C$309,0)),""))</f>
        <v/>
      </c>
      <c r="I446" s="15" t="str">
        <f>IF(E446="","",IFERROR(INDEX(食材マスタ!$K$10:$K$309,MATCH(E446,食材マスタ!$C$10:$C$309,0)),""))</f>
        <v/>
      </c>
      <c r="J446" s="15" t="str">
        <f t="shared" si="30"/>
        <v/>
      </c>
      <c r="K446" s="20"/>
      <c r="L446" s="8" t="str">
        <f t="shared" si="31"/>
        <v/>
      </c>
      <c r="M446" s="9"/>
      <c r="N446" s="13" t="str">
        <f t="shared" si="32"/>
        <v/>
      </c>
      <c r="O446" s="22" t="str">
        <f t="shared" ca="1" si="33"/>
        <v/>
      </c>
      <c r="P446" s="17" t="str">
        <f t="shared" si="34"/>
        <v/>
      </c>
      <c r="Q446" s="11"/>
      <c r="R446" s="19"/>
      <c r="S446" s="19"/>
      <c r="U446">
        <f ca="1">IF(AND(ISNUMBER(O446),O446&lt;=設定!$C$4),1,0)</f>
        <v>0</v>
      </c>
      <c r="V446" t="str">
        <f ca="1">IF(U446=1,SUM($U$10:U446),"")</f>
        <v/>
      </c>
    </row>
    <row r="447" spans="2:22">
      <c r="B447" s="8" t="str">
        <f>IF(C447="","",COUNT($C$10:C447))</f>
        <v/>
      </c>
      <c r="C447" s="20"/>
      <c r="D447" s="11"/>
      <c r="E447" s="9"/>
      <c r="F447" s="21" t="str">
        <f>IF(E447="","",IFERROR(INDEX(食材マスタ!$D$10:$D$309,MATCH(E447,食材マスタ!$C$10:$C$309,0)),"※コード未登録"))</f>
        <v/>
      </c>
      <c r="G447" s="16"/>
      <c r="H447" s="8" t="str">
        <f>IF(E447="","",IFERROR(INDEX(食材マスタ!$H$10:$H$309,MATCH(E447,食材マスタ!$C$10:$C$309,0)),""))</f>
        <v/>
      </c>
      <c r="I447" s="15" t="str">
        <f>IF(E447="","",IFERROR(INDEX(食材マスタ!$K$10:$K$309,MATCH(E447,食材マスタ!$C$10:$C$309,0)),""))</f>
        <v/>
      </c>
      <c r="J447" s="15" t="str">
        <f t="shared" si="30"/>
        <v/>
      </c>
      <c r="K447" s="20"/>
      <c r="L447" s="8" t="str">
        <f t="shared" si="31"/>
        <v/>
      </c>
      <c r="M447" s="9"/>
      <c r="N447" s="13" t="str">
        <f t="shared" si="32"/>
        <v/>
      </c>
      <c r="O447" s="22" t="str">
        <f t="shared" ca="1" si="33"/>
        <v/>
      </c>
      <c r="P447" s="17" t="str">
        <f t="shared" si="34"/>
        <v/>
      </c>
      <c r="Q447" s="11"/>
      <c r="R447" s="19"/>
      <c r="S447" s="19"/>
      <c r="U447">
        <f ca="1">IF(AND(ISNUMBER(O447),O447&lt;=設定!$C$4),1,0)</f>
        <v>0</v>
      </c>
      <c r="V447" t="str">
        <f ca="1">IF(U447=1,SUM($U$10:U447),"")</f>
        <v/>
      </c>
    </row>
    <row r="448" spans="2:22">
      <c r="B448" s="8" t="str">
        <f>IF(C448="","",COUNT($C$10:C448))</f>
        <v/>
      </c>
      <c r="C448" s="20"/>
      <c r="D448" s="11"/>
      <c r="E448" s="9"/>
      <c r="F448" s="21" t="str">
        <f>IF(E448="","",IFERROR(INDEX(食材マスタ!$D$10:$D$309,MATCH(E448,食材マスタ!$C$10:$C$309,0)),"※コード未登録"))</f>
        <v/>
      </c>
      <c r="G448" s="16"/>
      <c r="H448" s="8" t="str">
        <f>IF(E448="","",IFERROR(INDEX(食材マスタ!$H$10:$H$309,MATCH(E448,食材マスタ!$C$10:$C$309,0)),""))</f>
        <v/>
      </c>
      <c r="I448" s="15" t="str">
        <f>IF(E448="","",IFERROR(INDEX(食材マスタ!$K$10:$K$309,MATCH(E448,食材マスタ!$C$10:$C$309,0)),""))</f>
        <v/>
      </c>
      <c r="J448" s="15" t="str">
        <f t="shared" si="30"/>
        <v/>
      </c>
      <c r="K448" s="20"/>
      <c r="L448" s="8" t="str">
        <f t="shared" si="31"/>
        <v/>
      </c>
      <c r="M448" s="9"/>
      <c r="N448" s="13" t="str">
        <f t="shared" si="32"/>
        <v/>
      </c>
      <c r="O448" s="22" t="str">
        <f t="shared" ca="1" si="33"/>
        <v/>
      </c>
      <c r="P448" s="17" t="str">
        <f t="shared" si="34"/>
        <v/>
      </c>
      <c r="Q448" s="11"/>
      <c r="R448" s="19"/>
      <c r="S448" s="19"/>
      <c r="U448">
        <f ca="1">IF(AND(ISNUMBER(O448),O448&lt;=設定!$C$4),1,0)</f>
        <v>0</v>
      </c>
      <c r="V448" t="str">
        <f ca="1">IF(U448=1,SUM($U$10:U448),"")</f>
        <v/>
      </c>
    </row>
    <row r="449" spans="2:22">
      <c r="B449" s="8" t="str">
        <f>IF(C449="","",COUNT($C$10:C449))</f>
        <v/>
      </c>
      <c r="C449" s="20"/>
      <c r="D449" s="11"/>
      <c r="E449" s="9"/>
      <c r="F449" s="21" t="str">
        <f>IF(E449="","",IFERROR(INDEX(食材マスタ!$D$10:$D$309,MATCH(E449,食材マスタ!$C$10:$C$309,0)),"※コード未登録"))</f>
        <v/>
      </c>
      <c r="G449" s="16"/>
      <c r="H449" s="8" t="str">
        <f>IF(E449="","",IFERROR(INDEX(食材マスタ!$H$10:$H$309,MATCH(E449,食材マスタ!$C$10:$C$309,0)),""))</f>
        <v/>
      </c>
      <c r="I449" s="15" t="str">
        <f>IF(E449="","",IFERROR(INDEX(食材マスタ!$K$10:$K$309,MATCH(E449,食材マスタ!$C$10:$C$309,0)),""))</f>
        <v/>
      </c>
      <c r="J449" s="15" t="str">
        <f t="shared" si="30"/>
        <v/>
      </c>
      <c r="K449" s="20"/>
      <c r="L449" s="8" t="str">
        <f t="shared" si="31"/>
        <v/>
      </c>
      <c r="M449" s="9"/>
      <c r="N449" s="13" t="str">
        <f t="shared" si="32"/>
        <v/>
      </c>
      <c r="O449" s="22" t="str">
        <f t="shared" ca="1" si="33"/>
        <v/>
      </c>
      <c r="P449" s="17" t="str">
        <f t="shared" si="34"/>
        <v/>
      </c>
      <c r="Q449" s="11"/>
      <c r="R449" s="19"/>
      <c r="S449" s="19"/>
      <c r="U449">
        <f ca="1">IF(AND(ISNUMBER(O449),O449&lt;=設定!$C$4),1,0)</f>
        <v>0</v>
      </c>
      <c r="V449" t="str">
        <f ca="1">IF(U449=1,SUM($U$10:U449),"")</f>
        <v/>
      </c>
    </row>
    <row r="450" spans="2:22">
      <c r="B450" s="8" t="str">
        <f>IF(C450="","",COUNT($C$10:C450))</f>
        <v/>
      </c>
      <c r="C450" s="20"/>
      <c r="D450" s="11"/>
      <c r="E450" s="9"/>
      <c r="F450" s="21" t="str">
        <f>IF(E450="","",IFERROR(INDEX(食材マスタ!$D$10:$D$309,MATCH(E450,食材マスタ!$C$10:$C$309,0)),"※コード未登録"))</f>
        <v/>
      </c>
      <c r="G450" s="16"/>
      <c r="H450" s="8" t="str">
        <f>IF(E450="","",IFERROR(INDEX(食材マスタ!$H$10:$H$309,MATCH(E450,食材マスタ!$C$10:$C$309,0)),""))</f>
        <v/>
      </c>
      <c r="I450" s="15" t="str">
        <f>IF(E450="","",IFERROR(INDEX(食材マスタ!$K$10:$K$309,MATCH(E450,食材マスタ!$C$10:$C$309,0)),""))</f>
        <v/>
      </c>
      <c r="J450" s="15" t="str">
        <f t="shared" si="30"/>
        <v/>
      </c>
      <c r="K450" s="20"/>
      <c r="L450" s="8" t="str">
        <f t="shared" si="31"/>
        <v/>
      </c>
      <c r="M450" s="9"/>
      <c r="N450" s="13" t="str">
        <f t="shared" si="32"/>
        <v/>
      </c>
      <c r="O450" s="22" t="str">
        <f t="shared" ca="1" si="33"/>
        <v/>
      </c>
      <c r="P450" s="17" t="str">
        <f t="shared" si="34"/>
        <v/>
      </c>
      <c r="Q450" s="11"/>
      <c r="R450" s="19"/>
      <c r="S450" s="19"/>
      <c r="U450">
        <f ca="1">IF(AND(ISNUMBER(O450),O450&lt;=設定!$C$4),1,0)</f>
        <v>0</v>
      </c>
      <c r="V450" t="str">
        <f ca="1">IF(U450=1,SUM($U$10:U450),"")</f>
        <v/>
      </c>
    </row>
    <row r="451" spans="2:22">
      <c r="B451" s="8" t="str">
        <f>IF(C451="","",COUNT($C$10:C451))</f>
        <v/>
      </c>
      <c r="C451" s="20"/>
      <c r="D451" s="11"/>
      <c r="E451" s="9"/>
      <c r="F451" s="21" t="str">
        <f>IF(E451="","",IFERROR(INDEX(食材マスタ!$D$10:$D$309,MATCH(E451,食材マスタ!$C$10:$C$309,0)),"※コード未登録"))</f>
        <v/>
      </c>
      <c r="G451" s="16"/>
      <c r="H451" s="8" t="str">
        <f>IF(E451="","",IFERROR(INDEX(食材マスタ!$H$10:$H$309,MATCH(E451,食材マスタ!$C$10:$C$309,0)),""))</f>
        <v/>
      </c>
      <c r="I451" s="15" t="str">
        <f>IF(E451="","",IFERROR(INDEX(食材マスタ!$K$10:$K$309,MATCH(E451,食材マスタ!$C$10:$C$309,0)),""))</f>
        <v/>
      </c>
      <c r="J451" s="15" t="str">
        <f t="shared" si="30"/>
        <v/>
      </c>
      <c r="K451" s="20"/>
      <c r="L451" s="8" t="str">
        <f t="shared" si="31"/>
        <v/>
      </c>
      <c r="M451" s="9"/>
      <c r="N451" s="13" t="str">
        <f t="shared" si="32"/>
        <v/>
      </c>
      <c r="O451" s="22" t="str">
        <f t="shared" ca="1" si="33"/>
        <v/>
      </c>
      <c r="P451" s="17" t="str">
        <f t="shared" si="34"/>
        <v/>
      </c>
      <c r="Q451" s="11"/>
      <c r="R451" s="19"/>
      <c r="S451" s="19"/>
      <c r="U451">
        <f ca="1">IF(AND(ISNUMBER(O451),O451&lt;=設定!$C$4),1,0)</f>
        <v>0</v>
      </c>
      <c r="V451" t="str">
        <f ca="1">IF(U451=1,SUM($U$10:U451),"")</f>
        <v/>
      </c>
    </row>
    <row r="452" spans="2:22">
      <c r="B452" s="8" t="str">
        <f>IF(C452="","",COUNT($C$10:C452))</f>
        <v/>
      </c>
      <c r="C452" s="20"/>
      <c r="D452" s="11"/>
      <c r="E452" s="9"/>
      <c r="F452" s="21" t="str">
        <f>IF(E452="","",IFERROR(INDEX(食材マスタ!$D$10:$D$309,MATCH(E452,食材マスタ!$C$10:$C$309,0)),"※コード未登録"))</f>
        <v/>
      </c>
      <c r="G452" s="16"/>
      <c r="H452" s="8" t="str">
        <f>IF(E452="","",IFERROR(INDEX(食材マスタ!$H$10:$H$309,MATCH(E452,食材マスタ!$C$10:$C$309,0)),""))</f>
        <v/>
      </c>
      <c r="I452" s="15" t="str">
        <f>IF(E452="","",IFERROR(INDEX(食材マスタ!$K$10:$K$309,MATCH(E452,食材マスタ!$C$10:$C$309,0)),""))</f>
        <v/>
      </c>
      <c r="J452" s="15" t="str">
        <f t="shared" si="30"/>
        <v/>
      </c>
      <c r="K452" s="20"/>
      <c r="L452" s="8" t="str">
        <f t="shared" si="31"/>
        <v/>
      </c>
      <c r="M452" s="9"/>
      <c r="N452" s="13" t="str">
        <f t="shared" si="32"/>
        <v/>
      </c>
      <c r="O452" s="22" t="str">
        <f t="shared" ca="1" si="33"/>
        <v/>
      </c>
      <c r="P452" s="17" t="str">
        <f t="shared" si="34"/>
        <v/>
      </c>
      <c r="Q452" s="11"/>
      <c r="R452" s="19"/>
      <c r="S452" s="19"/>
      <c r="U452">
        <f ca="1">IF(AND(ISNUMBER(O452),O452&lt;=設定!$C$4),1,0)</f>
        <v>0</v>
      </c>
      <c r="V452" t="str">
        <f ca="1">IF(U452=1,SUM($U$10:U452),"")</f>
        <v/>
      </c>
    </row>
    <row r="453" spans="2:22">
      <c r="B453" s="8" t="str">
        <f>IF(C453="","",COUNT($C$10:C453))</f>
        <v/>
      </c>
      <c r="C453" s="20"/>
      <c r="D453" s="11"/>
      <c r="E453" s="9"/>
      <c r="F453" s="21" t="str">
        <f>IF(E453="","",IFERROR(INDEX(食材マスタ!$D$10:$D$309,MATCH(E453,食材マスタ!$C$10:$C$309,0)),"※コード未登録"))</f>
        <v/>
      </c>
      <c r="G453" s="16"/>
      <c r="H453" s="8" t="str">
        <f>IF(E453="","",IFERROR(INDEX(食材マスタ!$H$10:$H$309,MATCH(E453,食材マスタ!$C$10:$C$309,0)),""))</f>
        <v/>
      </c>
      <c r="I453" s="15" t="str">
        <f>IF(E453="","",IFERROR(INDEX(食材マスタ!$K$10:$K$309,MATCH(E453,食材マスタ!$C$10:$C$309,0)),""))</f>
        <v/>
      </c>
      <c r="J453" s="15" t="str">
        <f t="shared" si="30"/>
        <v/>
      </c>
      <c r="K453" s="20"/>
      <c r="L453" s="8" t="str">
        <f t="shared" si="31"/>
        <v/>
      </c>
      <c r="M453" s="9"/>
      <c r="N453" s="13" t="str">
        <f t="shared" si="32"/>
        <v/>
      </c>
      <c r="O453" s="22" t="str">
        <f t="shared" ca="1" si="33"/>
        <v/>
      </c>
      <c r="P453" s="17" t="str">
        <f t="shared" si="34"/>
        <v/>
      </c>
      <c r="Q453" s="11"/>
      <c r="R453" s="19"/>
      <c r="S453" s="19"/>
      <c r="U453">
        <f ca="1">IF(AND(ISNUMBER(O453),O453&lt;=設定!$C$4),1,0)</f>
        <v>0</v>
      </c>
      <c r="V453" t="str">
        <f ca="1">IF(U453=1,SUM($U$10:U453),"")</f>
        <v/>
      </c>
    </row>
    <row r="454" spans="2:22">
      <c r="B454" s="8" t="str">
        <f>IF(C454="","",COUNT($C$10:C454))</f>
        <v/>
      </c>
      <c r="C454" s="20"/>
      <c r="D454" s="11"/>
      <c r="E454" s="9"/>
      <c r="F454" s="21" t="str">
        <f>IF(E454="","",IFERROR(INDEX(食材マスタ!$D$10:$D$309,MATCH(E454,食材マスタ!$C$10:$C$309,0)),"※コード未登録"))</f>
        <v/>
      </c>
      <c r="G454" s="16"/>
      <c r="H454" s="8" t="str">
        <f>IF(E454="","",IFERROR(INDEX(食材マスタ!$H$10:$H$309,MATCH(E454,食材マスタ!$C$10:$C$309,0)),""))</f>
        <v/>
      </c>
      <c r="I454" s="15" t="str">
        <f>IF(E454="","",IFERROR(INDEX(食材マスタ!$K$10:$K$309,MATCH(E454,食材マスタ!$C$10:$C$309,0)),""))</f>
        <v/>
      </c>
      <c r="J454" s="15" t="str">
        <f t="shared" si="30"/>
        <v/>
      </c>
      <c r="K454" s="20"/>
      <c r="L454" s="8" t="str">
        <f t="shared" si="31"/>
        <v/>
      </c>
      <c r="M454" s="9"/>
      <c r="N454" s="13" t="str">
        <f t="shared" si="32"/>
        <v/>
      </c>
      <c r="O454" s="22" t="str">
        <f t="shared" ca="1" si="33"/>
        <v/>
      </c>
      <c r="P454" s="17" t="str">
        <f t="shared" si="34"/>
        <v/>
      </c>
      <c r="Q454" s="11"/>
      <c r="R454" s="19"/>
      <c r="S454" s="19"/>
      <c r="U454">
        <f ca="1">IF(AND(ISNUMBER(O454),O454&lt;=設定!$C$4),1,0)</f>
        <v>0</v>
      </c>
      <c r="V454" t="str">
        <f ca="1">IF(U454=1,SUM($U$10:U454),"")</f>
        <v/>
      </c>
    </row>
    <row r="455" spans="2:22">
      <c r="B455" s="8" t="str">
        <f>IF(C455="","",COUNT($C$10:C455))</f>
        <v/>
      </c>
      <c r="C455" s="20"/>
      <c r="D455" s="11"/>
      <c r="E455" s="9"/>
      <c r="F455" s="21" t="str">
        <f>IF(E455="","",IFERROR(INDEX(食材マスタ!$D$10:$D$309,MATCH(E455,食材マスタ!$C$10:$C$309,0)),"※コード未登録"))</f>
        <v/>
      </c>
      <c r="G455" s="16"/>
      <c r="H455" s="8" t="str">
        <f>IF(E455="","",IFERROR(INDEX(食材マスタ!$H$10:$H$309,MATCH(E455,食材マスタ!$C$10:$C$309,0)),""))</f>
        <v/>
      </c>
      <c r="I455" s="15" t="str">
        <f>IF(E455="","",IFERROR(INDEX(食材マスタ!$K$10:$K$309,MATCH(E455,食材マスタ!$C$10:$C$309,0)),""))</f>
        <v/>
      </c>
      <c r="J455" s="15" t="str">
        <f t="shared" si="30"/>
        <v/>
      </c>
      <c r="K455" s="20"/>
      <c r="L455" s="8" t="str">
        <f t="shared" si="31"/>
        <v/>
      </c>
      <c r="M455" s="9"/>
      <c r="N455" s="13" t="str">
        <f t="shared" si="32"/>
        <v/>
      </c>
      <c r="O455" s="22" t="str">
        <f t="shared" ca="1" si="33"/>
        <v/>
      </c>
      <c r="P455" s="17" t="str">
        <f t="shared" si="34"/>
        <v/>
      </c>
      <c r="Q455" s="11"/>
      <c r="R455" s="19"/>
      <c r="S455" s="19"/>
      <c r="U455">
        <f ca="1">IF(AND(ISNUMBER(O455),O455&lt;=設定!$C$4),1,0)</f>
        <v>0</v>
      </c>
      <c r="V455" t="str">
        <f ca="1">IF(U455=1,SUM($U$10:U455),"")</f>
        <v/>
      </c>
    </row>
    <row r="456" spans="2:22">
      <c r="B456" s="8" t="str">
        <f>IF(C456="","",COUNT($C$10:C456))</f>
        <v/>
      </c>
      <c r="C456" s="20"/>
      <c r="D456" s="11"/>
      <c r="E456" s="9"/>
      <c r="F456" s="21" t="str">
        <f>IF(E456="","",IFERROR(INDEX(食材マスタ!$D$10:$D$309,MATCH(E456,食材マスタ!$C$10:$C$309,0)),"※コード未登録"))</f>
        <v/>
      </c>
      <c r="G456" s="16"/>
      <c r="H456" s="8" t="str">
        <f>IF(E456="","",IFERROR(INDEX(食材マスタ!$H$10:$H$309,MATCH(E456,食材マスタ!$C$10:$C$309,0)),""))</f>
        <v/>
      </c>
      <c r="I456" s="15" t="str">
        <f>IF(E456="","",IFERROR(INDEX(食材マスタ!$K$10:$K$309,MATCH(E456,食材マスタ!$C$10:$C$309,0)),""))</f>
        <v/>
      </c>
      <c r="J456" s="15" t="str">
        <f t="shared" si="30"/>
        <v/>
      </c>
      <c r="K456" s="20"/>
      <c r="L456" s="8" t="str">
        <f t="shared" si="31"/>
        <v/>
      </c>
      <c r="M456" s="9"/>
      <c r="N456" s="13" t="str">
        <f t="shared" si="32"/>
        <v/>
      </c>
      <c r="O456" s="22" t="str">
        <f t="shared" ca="1" si="33"/>
        <v/>
      </c>
      <c r="P456" s="17" t="str">
        <f t="shared" si="34"/>
        <v/>
      </c>
      <c r="Q456" s="11"/>
      <c r="R456" s="19"/>
      <c r="S456" s="19"/>
      <c r="U456">
        <f ca="1">IF(AND(ISNUMBER(O456),O456&lt;=設定!$C$4),1,0)</f>
        <v>0</v>
      </c>
      <c r="V456" t="str">
        <f ca="1">IF(U456=1,SUM($U$10:U456),"")</f>
        <v/>
      </c>
    </row>
    <row r="457" spans="2:22">
      <c r="B457" s="8" t="str">
        <f>IF(C457="","",COUNT($C$10:C457))</f>
        <v/>
      </c>
      <c r="C457" s="20"/>
      <c r="D457" s="11"/>
      <c r="E457" s="9"/>
      <c r="F457" s="21" t="str">
        <f>IF(E457="","",IFERROR(INDEX(食材マスタ!$D$10:$D$309,MATCH(E457,食材マスタ!$C$10:$C$309,0)),"※コード未登録"))</f>
        <v/>
      </c>
      <c r="G457" s="16"/>
      <c r="H457" s="8" t="str">
        <f>IF(E457="","",IFERROR(INDEX(食材マスタ!$H$10:$H$309,MATCH(E457,食材マスタ!$C$10:$C$309,0)),""))</f>
        <v/>
      </c>
      <c r="I457" s="15" t="str">
        <f>IF(E457="","",IFERROR(INDEX(食材マスタ!$K$10:$K$309,MATCH(E457,食材マスタ!$C$10:$C$309,0)),""))</f>
        <v/>
      </c>
      <c r="J457" s="15" t="str">
        <f t="shared" si="30"/>
        <v/>
      </c>
      <c r="K457" s="20"/>
      <c r="L457" s="8" t="str">
        <f t="shared" si="31"/>
        <v/>
      </c>
      <c r="M457" s="9"/>
      <c r="N457" s="13" t="str">
        <f t="shared" si="32"/>
        <v/>
      </c>
      <c r="O457" s="22" t="str">
        <f t="shared" ca="1" si="33"/>
        <v/>
      </c>
      <c r="P457" s="17" t="str">
        <f t="shared" si="34"/>
        <v/>
      </c>
      <c r="Q457" s="11"/>
      <c r="R457" s="19"/>
      <c r="S457" s="19"/>
      <c r="U457">
        <f ca="1">IF(AND(ISNUMBER(O457),O457&lt;=設定!$C$4),1,0)</f>
        <v>0</v>
      </c>
      <c r="V457" t="str">
        <f ca="1">IF(U457=1,SUM($U$10:U457),"")</f>
        <v/>
      </c>
    </row>
    <row r="458" spans="2:22">
      <c r="B458" s="8" t="str">
        <f>IF(C458="","",COUNT($C$10:C458))</f>
        <v/>
      </c>
      <c r="C458" s="20"/>
      <c r="D458" s="11"/>
      <c r="E458" s="9"/>
      <c r="F458" s="21" t="str">
        <f>IF(E458="","",IFERROR(INDEX(食材マスタ!$D$10:$D$309,MATCH(E458,食材マスタ!$C$10:$C$309,0)),"※コード未登録"))</f>
        <v/>
      </c>
      <c r="G458" s="16"/>
      <c r="H458" s="8" t="str">
        <f>IF(E458="","",IFERROR(INDEX(食材マスタ!$H$10:$H$309,MATCH(E458,食材マスタ!$C$10:$C$309,0)),""))</f>
        <v/>
      </c>
      <c r="I458" s="15" t="str">
        <f>IF(E458="","",IFERROR(INDEX(食材マスタ!$K$10:$K$309,MATCH(E458,食材マスタ!$C$10:$C$309,0)),""))</f>
        <v/>
      </c>
      <c r="J458" s="15" t="str">
        <f t="shared" ref="J458:J521" si="35">IF(OR(G458="",I458=""),"",ROUND(ABS(G458)*I458,0))</f>
        <v/>
      </c>
      <c r="K458" s="20"/>
      <c r="L458" s="8" t="str">
        <f t="shared" ref="L458:L521" si="36">IF(AND(D458="入庫",E458&lt;&gt;""),E458&amp;"-"&amp;TEXT(ROW()-9,"0000"),"")</f>
        <v/>
      </c>
      <c r="M458" s="9"/>
      <c r="N458" s="13" t="str">
        <f t="shared" ref="N458:N521" si="37">IF(L458="","",G458-SUMIFS($G$10:$G$1009,$M$10:$M$1009,L458,$D$10:$D$1009,"出庫")-SUMIFS($G$10:$G$1009,$M$10:$M$1009,L458,$D$10:$D$1009,"廃棄")+SUMIFS($G$10:$G$1009,$M$10:$M$1009,L458,$D$10:$D$1009,"棚卸調整"))</f>
        <v/>
      </c>
      <c r="O458" s="22" t="str">
        <f t="shared" ref="O458:O521" ca="1" si="38">IF(OR(L458="",K458=""),"",IF(N458&lt;=0,"",K458-TODAY()))</f>
        <v/>
      </c>
      <c r="P458" s="17" t="str">
        <f t="shared" ref="P458:P521" si="39">IF(E458="","",IF(F458="※コード未登録","コード未登録",IF(AND(OR(D458="出庫",D458="廃棄"),M458=""),"ロット未指定",IF(AND(M458&lt;&gt;"",LEFT(M458,LEN(E458)+1)&lt;&gt;E458&amp;"-"),"ロット違い",IF(AND(L458&lt;&gt;"",N458&lt;0),"ロット残マイナス","")))))</f>
        <v/>
      </c>
      <c r="Q458" s="11"/>
      <c r="R458" s="19"/>
      <c r="S458" s="19"/>
      <c r="U458">
        <f ca="1">IF(AND(ISNUMBER(O458),O458&lt;=設定!$C$4),1,0)</f>
        <v>0</v>
      </c>
      <c r="V458" t="str">
        <f ca="1">IF(U458=1,SUM($U$10:U458),"")</f>
        <v/>
      </c>
    </row>
    <row r="459" spans="2:22">
      <c r="B459" s="8" t="str">
        <f>IF(C459="","",COUNT($C$10:C459))</f>
        <v/>
      </c>
      <c r="C459" s="20"/>
      <c r="D459" s="11"/>
      <c r="E459" s="9"/>
      <c r="F459" s="21" t="str">
        <f>IF(E459="","",IFERROR(INDEX(食材マスタ!$D$10:$D$309,MATCH(E459,食材マスタ!$C$10:$C$309,0)),"※コード未登録"))</f>
        <v/>
      </c>
      <c r="G459" s="16"/>
      <c r="H459" s="8" t="str">
        <f>IF(E459="","",IFERROR(INDEX(食材マスタ!$H$10:$H$309,MATCH(E459,食材マスタ!$C$10:$C$309,0)),""))</f>
        <v/>
      </c>
      <c r="I459" s="15" t="str">
        <f>IF(E459="","",IFERROR(INDEX(食材マスタ!$K$10:$K$309,MATCH(E459,食材マスタ!$C$10:$C$309,0)),""))</f>
        <v/>
      </c>
      <c r="J459" s="15" t="str">
        <f t="shared" si="35"/>
        <v/>
      </c>
      <c r="K459" s="20"/>
      <c r="L459" s="8" t="str">
        <f t="shared" si="36"/>
        <v/>
      </c>
      <c r="M459" s="9"/>
      <c r="N459" s="13" t="str">
        <f t="shared" si="37"/>
        <v/>
      </c>
      <c r="O459" s="22" t="str">
        <f t="shared" ca="1" si="38"/>
        <v/>
      </c>
      <c r="P459" s="17" t="str">
        <f t="shared" si="39"/>
        <v/>
      </c>
      <c r="Q459" s="11"/>
      <c r="R459" s="19"/>
      <c r="S459" s="19"/>
      <c r="U459">
        <f ca="1">IF(AND(ISNUMBER(O459),O459&lt;=設定!$C$4),1,0)</f>
        <v>0</v>
      </c>
      <c r="V459" t="str">
        <f ca="1">IF(U459=1,SUM($U$10:U459),"")</f>
        <v/>
      </c>
    </row>
    <row r="460" spans="2:22">
      <c r="B460" s="8" t="str">
        <f>IF(C460="","",COUNT($C$10:C460))</f>
        <v/>
      </c>
      <c r="C460" s="20"/>
      <c r="D460" s="11"/>
      <c r="E460" s="9"/>
      <c r="F460" s="21" t="str">
        <f>IF(E460="","",IFERROR(INDEX(食材マスタ!$D$10:$D$309,MATCH(E460,食材マスタ!$C$10:$C$309,0)),"※コード未登録"))</f>
        <v/>
      </c>
      <c r="G460" s="16"/>
      <c r="H460" s="8" t="str">
        <f>IF(E460="","",IFERROR(INDEX(食材マスタ!$H$10:$H$309,MATCH(E460,食材マスタ!$C$10:$C$309,0)),""))</f>
        <v/>
      </c>
      <c r="I460" s="15" t="str">
        <f>IF(E460="","",IFERROR(INDEX(食材マスタ!$K$10:$K$309,MATCH(E460,食材マスタ!$C$10:$C$309,0)),""))</f>
        <v/>
      </c>
      <c r="J460" s="15" t="str">
        <f t="shared" si="35"/>
        <v/>
      </c>
      <c r="K460" s="20"/>
      <c r="L460" s="8" t="str">
        <f t="shared" si="36"/>
        <v/>
      </c>
      <c r="M460" s="9"/>
      <c r="N460" s="13" t="str">
        <f t="shared" si="37"/>
        <v/>
      </c>
      <c r="O460" s="22" t="str">
        <f t="shared" ca="1" si="38"/>
        <v/>
      </c>
      <c r="P460" s="17" t="str">
        <f t="shared" si="39"/>
        <v/>
      </c>
      <c r="Q460" s="11"/>
      <c r="R460" s="19"/>
      <c r="S460" s="19"/>
      <c r="U460">
        <f ca="1">IF(AND(ISNUMBER(O460),O460&lt;=設定!$C$4),1,0)</f>
        <v>0</v>
      </c>
      <c r="V460" t="str">
        <f ca="1">IF(U460=1,SUM($U$10:U460),"")</f>
        <v/>
      </c>
    </row>
    <row r="461" spans="2:22">
      <c r="B461" s="8" t="str">
        <f>IF(C461="","",COUNT($C$10:C461))</f>
        <v/>
      </c>
      <c r="C461" s="20"/>
      <c r="D461" s="11"/>
      <c r="E461" s="9"/>
      <c r="F461" s="21" t="str">
        <f>IF(E461="","",IFERROR(INDEX(食材マスタ!$D$10:$D$309,MATCH(E461,食材マスタ!$C$10:$C$309,0)),"※コード未登録"))</f>
        <v/>
      </c>
      <c r="G461" s="16"/>
      <c r="H461" s="8" t="str">
        <f>IF(E461="","",IFERROR(INDEX(食材マスタ!$H$10:$H$309,MATCH(E461,食材マスタ!$C$10:$C$309,0)),""))</f>
        <v/>
      </c>
      <c r="I461" s="15" t="str">
        <f>IF(E461="","",IFERROR(INDEX(食材マスタ!$K$10:$K$309,MATCH(E461,食材マスタ!$C$10:$C$309,0)),""))</f>
        <v/>
      </c>
      <c r="J461" s="15" t="str">
        <f t="shared" si="35"/>
        <v/>
      </c>
      <c r="K461" s="20"/>
      <c r="L461" s="8" t="str">
        <f t="shared" si="36"/>
        <v/>
      </c>
      <c r="M461" s="9"/>
      <c r="N461" s="13" t="str">
        <f t="shared" si="37"/>
        <v/>
      </c>
      <c r="O461" s="22" t="str">
        <f t="shared" ca="1" si="38"/>
        <v/>
      </c>
      <c r="P461" s="17" t="str">
        <f t="shared" si="39"/>
        <v/>
      </c>
      <c r="Q461" s="11"/>
      <c r="R461" s="19"/>
      <c r="S461" s="19"/>
      <c r="U461">
        <f ca="1">IF(AND(ISNUMBER(O461),O461&lt;=設定!$C$4),1,0)</f>
        <v>0</v>
      </c>
      <c r="V461" t="str">
        <f ca="1">IF(U461=1,SUM($U$10:U461),"")</f>
        <v/>
      </c>
    </row>
    <row r="462" spans="2:22">
      <c r="B462" s="8" t="str">
        <f>IF(C462="","",COUNT($C$10:C462))</f>
        <v/>
      </c>
      <c r="C462" s="20"/>
      <c r="D462" s="11"/>
      <c r="E462" s="9"/>
      <c r="F462" s="21" t="str">
        <f>IF(E462="","",IFERROR(INDEX(食材マスタ!$D$10:$D$309,MATCH(E462,食材マスタ!$C$10:$C$309,0)),"※コード未登録"))</f>
        <v/>
      </c>
      <c r="G462" s="16"/>
      <c r="H462" s="8" t="str">
        <f>IF(E462="","",IFERROR(INDEX(食材マスタ!$H$10:$H$309,MATCH(E462,食材マスタ!$C$10:$C$309,0)),""))</f>
        <v/>
      </c>
      <c r="I462" s="15" t="str">
        <f>IF(E462="","",IFERROR(INDEX(食材マスタ!$K$10:$K$309,MATCH(E462,食材マスタ!$C$10:$C$309,0)),""))</f>
        <v/>
      </c>
      <c r="J462" s="15" t="str">
        <f t="shared" si="35"/>
        <v/>
      </c>
      <c r="K462" s="20"/>
      <c r="L462" s="8" t="str">
        <f t="shared" si="36"/>
        <v/>
      </c>
      <c r="M462" s="9"/>
      <c r="N462" s="13" t="str">
        <f t="shared" si="37"/>
        <v/>
      </c>
      <c r="O462" s="22" t="str">
        <f t="shared" ca="1" si="38"/>
        <v/>
      </c>
      <c r="P462" s="17" t="str">
        <f t="shared" si="39"/>
        <v/>
      </c>
      <c r="Q462" s="11"/>
      <c r="R462" s="19"/>
      <c r="S462" s="19"/>
      <c r="U462">
        <f ca="1">IF(AND(ISNUMBER(O462),O462&lt;=設定!$C$4),1,0)</f>
        <v>0</v>
      </c>
      <c r="V462" t="str">
        <f ca="1">IF(U462=1,SUM($U$10:U462),"")</f>
        <v/>
      </c>
    </row>
    <row r="463" spans="2:22">
      <c r="B463" s="8" t="str">
        <f>IF(C463="","",COUNT($C$10:C463))</f>
        <v/>
      </c>
      <c r="C463" s="20"/>
      <c r="D463" s="11"/>
      <c r="E463" s="9"/>
      <c r="F463" s="21" t="str">
        <f>IF(E463="","",IFERROR(INDEX(食材マスタ!$D$10:$D$309,MATCH(E463,食材マスタ!$C$10:$C$309,0)),"※コード未登録"))</f>
        <v/>
      </c>
      <c r="G463" s="16"/>
      <c r="H463" s="8" t="str">
        <f>IF(E463="","",IFERROR(INDEX(食材マスタ!$H$10:$H$309,MATCH(E463,食材マスタ!$C$10:$C$309,0)),""))</f>
        <v/>
      </c>
      <c r="I463" s="15" t="str">
        <f>IF(E463="","",IFERROR(INDEX(食材マスタ!$K$10:$K$309,MATCH(E463,食材マスタ!$C$10:$C$309,0)),""))</f>
        <v/>
      </c>
      <c r="J463" s="15" t="str">
        <f t="shared" si="35"/>
        <v/>
      </c>
      <c r="K463" s="20"/>
      <c r="L463" s="8" t="str">
        <f t="shared" si="36"/>
        <v/>
      </c>
      <c r="M463" s="9"/>
      <c r="N463" s="13" t="str">
        <f t="shared" si="37"/>
        <v/>
      </c>
      <c r="O463" s="22" t="str">
        <f t="shared" ca="1" si="38"/>
        <v/>
      </c>
      <c r="P463" s="17" t="str">
        <f t="shared" si="39"/>
        <v/>
      </c>
      <c r="Q463" s="11"/>
      <c r="R463" s="19"/>
      <c r="S463" s="19"/>
      <c r="U463">
        <f ca="1">IF(AND(ISNUMBER(O463),O463&lt;=設定!$C$4),1,0)</f>
        <v>0</v>
      </c>
      <c r="V463" t="str">
        <f ca="1">IF(U463=1,SUM($U$10:U463),"")</f>
        <v/>
      </c>
    </row>
    <row r="464" spans="2:22">
      <c r="B464" s="8" t="str">
        <f>IF(C464="","",COUNT($C$10:C464))</f>
        <v/>
      </c>
      <c r="C464" s="20"/>
      <c r="D464" s="11"/>
      <c r="E464" s="9"/>
      <c r="F464" s="21" t="str">
        <f>IF(E464="","",IFERROR(INDEX(食材マスタ!$D$10:$D$309,MATCH(E464,食材マスタ!$C$10:$C$309,0)),"※コード未登録"))</f>
        <v/>
      </c>
      <c r="G464" s="16"/>
      <c r="H464" s="8" t="str">
        <f>IF(E464="","",IFERROR(INDEX(食材マスタ!$H$10:$H$309,MATCH(E464,食材マスタ!$C$10:$C$309,0)),""))</f>
        <v/>
      </c>
      <c r="I464" s="15" t="str">
        <f>IF(E464="","",IFERROR(INDEX(食材マスタ!$K$10:$K$309,MATCH(E464,食材マスタ!$C$10:$C$309,0)),""))</f>
        <v/>
      </c>
      <c r="J464" s="15" t="str">
        <f t="shared" si="35"/>
        <v/>
      </c>
      <c r="K464" s="20"/>
      <c r="L464" s="8" t="str">
        <f t="shared" si="36"/>
        <v/>
      </c>
      <c r="M464" s="9"/>
      <c r="N464" s="13" t="str">
        <f t="shared" si="37"/>
        <v/>
      </c>
      <c r="O464" s="22" t="str">
        <f t="shared" ca="1" si="38"/>
        <v/>
      </c>
      <c r="P464" s="17" t="str">
        <f t="shared" si="39"/>
        <v/>
      </c>
      <c r="Q464" s="11"/>
      <c r="R464" s="19"/>
      <c r="S464" s="19"/>
      <c r="U464">
        <f ca="1">IF(AND(ISNUMBER(O464),O464&lt;=設定!$C$4),1,0)</f>
        <v>0</v>
      </c>
      <c r="V464" t="str">
        <f ca="1">IF(U464=1,SUM($U$10:U464),"")</f>
        <v/>
      </c>
    </row>
    <row r="465" spans="2:22">
      <c r="B465" s="8" t="str">
        <f>IF(C465="","",COUNT($C$10:C465))</f>
        <v/>
      </c>
      <c r="C465" s="20"/>
      <c r="D465" s="11"/>
      <c r="E465" s="9"/>
      <c r="F465" s="21" t="str">
        <f>IF(E465="","",IFERROR(INDEX(食材マスタ!$D$10:$D$309,MATCH(E465,食材マスタ!$C$10:$C$309,0)),"※コード未登録"))</f>
        <v/>
      </c>
      <c r="G465" s="16"/>
      <c r="H465" s="8" t="str">
        <f>IF(E465="","",IFERROR(INDEX(食材マスタ!$H$10:$H$309,MATCH(E465,食材マスタ!$C$10:$C$309,0)),""))</f>
        <v/>
      </c>
      <c r="I465" s="15" t="str">
        <f>IF(E465="","",IFERROR(INDEX(食材マスタ!$K$10:$K$309,MATCH(E465,食材マスタ!$C$10:$C$309,0)),""))</f>
        <v/>
      </c>
      <c r="J465" s="15" t="str">
        <f t="shared" si="35"/>
        <v/>
      </c>
      <c r="K465" s="20"/>
      <c r="L465" s="8" t="str">
        <f t="shared" si="36"/>
        <v/>
      </c>
      <c r="M465" s="9"/>
      <c r="N465" s="13" t="str">
        <f t="shared" si="37"/>
        <v/>
      </c>
      <c r="O465" s="22" t="str">
        <f t="shared" ca="1" si="38"/>
        <v/>
      </c>
      <c r="P465" s="17" t="str">
        <f t="shared" si="39"/>
        <v/>
      </c>
      <c r="Q465" s="11"/>
      <c r="R465" s="19"/>
      <c r="S465" s="19"/>
      <c r="U465">
        <f ca="1">IF(AND(ISNUMBER(O465),O465&lt;=設定!$C$4),1,0)</f>
        <v>0</v>
      </c>
      <c r="V465" t="str">
        <f ca="1">IF(U465=1,SUM($U$10:U465),"")</f>
        <v/>
      </c>
    </row>
    <row r="466" spans="2:22">
      <c r="B466" s="8" t="str">
        <f>IF(C466="","",COUNT($C$10:C466))</f>
        <v/>
      </c>
      <c r="C466" s="20"/>
      <c r="D466" s="11"/>
      <c r="E466" s="9"/>
      <c r="F466" s="21" t="str">
        <f>IF(E466="","",IFERROR(INDEX(食材マスタ!$D$10:$D$309,MATCH(E466,食材マスタ!$C$10:$C$309,0)),"※コード未登録"))</f>
        <v/>
      </c>
      <c r="G466" s="16"/>
      <c r="H466" s="8" t="str">
        <f>IF(E466="","",IFERROR(INDEX(食材マスタ!$H$10:$H$309,MATCH(E466,食材マスタ!$C$10:$C$309,0)),""))</f>
        <v/>
      </c>
      <c r="I466" s="15" t="str">
        <f>IF(E466="","",IFERROR(INDEX(食材マスタ!$K$10:$K$309,MATCH(E466,食材マスタ!$C$10:$C$309,0)),""))</f>
        <v/>
      </c>
      <c r="J466" s="15" t="str">
        <f t="shared" si="35"/>
        <v/>
      </c>
      <c r="K466" s="20"/>
      <c r="L466" s="8" t="str">
        <f t="shared" si="36"/>
        <v/>
      </c>
      <c r="M466" s="9"/>
      <c r="N466" s="13" t="str">
        <f t="shared" si="37"/>
        <v/>
      </c>
      <c r="O466" s="22" t="str">
        <f t="shared" ca="1" si="38"/>
        <v/>
      </c>
      <c r="P466" s="17" t="str">
        <f t="shared" si="39"/>
        <v/>
      </c>
      <c r="Q466" s="11"/>
      <c r="R466" s="19"/>
      <c r="S466" s="19"/>
      <c r="U466">
        <f ca="1">IF(AND(ISNUMBER(O466),O466&lt;=設定!$C$4),1,0)</f>
        <v>0</v>
      </c>
      <c r="V466" t="str">
        <f ca="1">IF(U466=1,SUM($U$10:U466),"")</f>
        <v/>
      </c>
    </row>
    <row r="467" spans="2:22">
      <c r="B467" s="8" t="str">
        <f>IF(C467="","",COUNT($C$10:C467))</f>
        <v/>
      </c>
      <c r="C467" s="20"/>
      <c r="D467" s="11"/>
      <c r="E467" s="9"/>
      <c r="F467" s="21" t="str">
        <f>IF(E467="","",IFERROR(INDEX(食材マスタ!$D$10:$D$309,MATCH(E467,食材マスタ!$C$10:$C$309,0)),"※コード未登録"))</f>
        <v/>
      </c>
      <c r="G467" s="16"/>
      <c r="H467" s="8" t="str">
        <f>IF(E467="","",IFERROR(INDEX(食材マスタ!$H$10:$H$309,MATCH(E467,食材マスタ!$C$10:$C$309,0)),""))</f>
        <v/>
      </c>
      <c r="I467" s="15" t="str">
        <f>IF(E467="","",IFERROR(INDEX(食材マスタ!$K$10:$K$309,MATCH(E467,食材マスタ!$C$10:$C$309,0)),""))</f>
        <v/>
      </c>
      <c r="J467" s="15" t="str">
        <f t="shared" si="35"/>
        <v/>
      </c>
      <c r="K467" s="20"/>
      <c r="L467" s="8" t="str">
        <f t="shared" si="36"/>
        <v/>
      </c>
      <c r="M467" s="9"/>
      <c r="N467" s="13" t="str">
        <f t="shared" si="37"/>
        <v/>
      </c>
      <c r="O467" s="22" t="str">
        <f t="shared" ca="1" si="38"/>
        <v/>
      </c>
      <c r="P467" s="17" t="str">
        <f t="shared" si="39"/>
        <v/>
      </c>
      <c r="Q467" s="11"/>
      <c r="R467" s="19"/>
      <c r="S467" s="19"/>
      <c r="U467">
        <f ca="1">IF(AND(ISNUMBER(O467),O467&lt;=設定!$C$4),1,0)</f>
        <v>0</v>
      </c>
      <c r="V467" t="str">
        <f ca="1">IF(U467=1,SUM($U$10:U467),"")</f>
        <v/>
      </c>
    </row>
    <row r="468" spans="2:22">
      <c r="B468" s="8" t="str">
        <f>IF(C468="","",COUNT($C$10:C468))</f>
        <v/>
      </c>
      <c r="C468" s="20"/>
      <c r="D468" s="11"/>
      <c r="E468" s="9"/>
      <c r="F468" s="21" t="str">
        <f>IF(E468="","",IFERROR(INDEX(食材マスタ!$D$10:$D$309,MATCH(E468,食材マスタ!$C$10:$C$309,0)),"※コード未登録"))</f>
        <v/>
      </c>
      <c r="G468" s="16"/>
      <c r="H468" s="8" t="str">
        <f>IF(E468="","",IFERROR(INDEX(食材マスタ!$H$10:$H$309,MATCH(E468,食材マスタ!$C$10:$C$309,0)),""))</f>
        <v/>
      </c>
      <c r="I468" s="15" t="str">
        <f>IF(E468="","",IFERROR(INDEX(食材マスタ!$K$10:$K$309,MATCH(E468,食材マスタ!$C$10:$C$309,0)),""))</f>
        <v/>
      </c>
      <c r="J468" s="15" t="str">
        <f t="shared" si="35"/>
        <v/>
      </c>
      <c r="K468" s="20"/>
      <c r="L468" s="8" t="str">
        <f t="shared" si="36"/>
        <v/>
      </c>
      <c r="M468" s="9"/>
      <c r="N468" s="13" t="str">
        <f t="shared" si="37"/>
        <v/>
      </c>
      <c r="O468" s="22" t="str">
        <f t="shared" ca="1" si="38"/>
        <v/>
      </c>
      <c r="P468" s="17" t="str">
        <f t="shared" si="39"/>
        <v/>
      </c>
      <c r="Q468" s="11"/>
      <c r="R468" s="19"/>
      <c r="S468" s="19"/>
      <c r="U468">
        <f ca="1">IF(AND(ISNUMBER(O468),O468&lt;=設定!$C$4),1,0)</f>
        <v>0</v>
      </c>
      <c r="V468" t="str">
        <f ca="1">IF(U468=1,SUM($U$10:U468),"")</f>
        <v/>
      </c>
    </row>
    <row r="469" spans="2:22">
      <c r="B469" s="8" t="str">
        <f>IF(C469="","",COUNT($C$10:C469))</f>
        <v/>
      </c>
      <c r="C469" s="20"/>
      <c r="D469" s="11"/>
      <c r="E469" s="9"/>
      <c r="F469" s="21" t="str">
        <f>IF(E469="","",IFERROR(INDEX(食材マスタ!$D$10:$D$309,MATCH(E469,食材マスタ!$C$10:$C$309,0)),"※コード未登録"))</f>
        <v/>
      </c>
      <c r="G469" s="16"/>
      <c r="H469" s="8" t="str">
        <f>IF(E469="","",IFERROR(INDEX(食材マスタ!$H$10:$H$309,MATCH(E469,食材マスタ!$C$10:$C$309,0)),""))</f>
        <v/>
      </c>
      <c r="I469" s="15" t="str">
        <f>IF(E469="","",IFERROR(INDEX(食材マスタ!$K$10:$K$309,MATCH(E469,食材マスタ!$C$10:$C$309,0)),""))</f>
        <v/>
      </c>
      <c r="J469" s="15" t="str">
        <f t="shared" si="35"/>
        <v/>
      </c>
      <c r="K469" s="20"/>
      <c r="L469" s="8" t="str">
        <f t="shared" si="36"/>
        <v/>
      </c>
      <c r="M469" s="9"/>
      <c r="N469" s="13" t="str">
        <f t="shared" si="37"/>
        <v/>
      </c>
      <c r="O469" s="22" t="str">
        <f t="shared" ca="1" si="38"/>
        <v/>
      </c>
      <c r="P469" s="17" t="str">
        <f t="shared" si="39"/>
        <v/>
      </c>
      <c r="Q469" s="11"/>
      <c r="R469" s="19"/>
      <c r="S469" s="19"/>
      <c r="U469">
        <f ca="1">IF(AND(ISNUMBER(O469),O469&lt;=設定!$C$4),1,0)</f>
        <v>0</v>
      </c>
      <c r="V469" t="str">
        <f ca="1">IF(U469=1,SUM($U$10:U469),"")</f>
        <v/>
      </c>
    </row>
    <row r="470" spans="2:22">
      <c r="B470" s="8" t="str">
        <f>IF(C470="","",COUNT($C$10:C470))</f>
        <v/>
      </c>
      <c r="C470" s="20"/>
      <c r="D470" s="11"/>
      <c r="E470" s="9"/>
      <c r="F470" s="21" t="str">
        <f>IF(E470="","",IFERROR(INDEX(食材マスタ!$D$10:$D$309,MATCH(E470,食材マスタ!$C$10:$C$309,0)),"※コード未登録"))</f>
        <v/>
      </c>
      <c r="G470" s="16"/>
      <c r="H470" s="8" t="str">
        <f>IF(E470="","",IFERROR(INDEX(食材マスタ!$H$10:$H$309,MATCH(E470,食材マスタ!$C$10:$C$309,0)),""))</f>
        <v/>
      </c>
      <c r="I470" s="15" t="str">
        <f>IF(E470="","",IFERROR(INDEX(食材マスタ!$K$10:$K$309,MATCH(E470,食材マスタ!$C$10:$C$309,0)),""))</f>
        <v/>
      </c>
      <c r="J470" s="15" t="str">
        <f t="shared" si="35"/>
        <v/>
      </c>
      <c r="K470" s="20"/>
      <c r="L470" s="8" t="str">
        <f t="shared" si="36"/>
        <v/>
      </c>
      <c r="M470" s="9"/>
      <c r="N470" s="13" t="str">
        <f t="shared" si="37"/>
        <v/>
      </c>
      <c r="O470" s="22" t="str">
        <f t="shared" ca="1" si="38"/>
        <v/>
      </c>
      <c r="P470" s="17" t="str">
        <f t="shared" si="39"/>
        <v/>
      </c>
      <c r="Q470" s="11"/>
      <c r="R470" s="19"/>
      <c r="S470" s="19"/>
      <c r="U470">
        <f ca="1">IF(AND(ISNUMBER(O470),O470&lt;=設定!$C$4),1,0)</f>
        <v>0</v>
      </c>
      <c r="V470" t="str">
        <f ca="1">IF(U470=1,SUM($U$10:U470),"")</f>
        <v/>
      </c>
    </row>
    <row r="471" spans="2:22">
      <c r="B471" s="8" t="str">
        <f>IF(C471="","",COUNT($C$10:C471))</f>
        <v/>
      </c>
      <c r="C471" s="20"/>
      <c r="D471" s="11"/>
      <c r="E471" s="9"/>
      <c r="F471" s="21" t="str">
        <f>IF(E471="","",IFERROR(INDEX(食材マスタ!$D$10:$D$309,MATCH(E471,食材マスタ!$C$10:$C$309,0)),"※コード未登録"))</f>
        <v/>
      </c>
      <c r="G471" s="16"/>
      <c r="H471" s="8" t="str">
        <f>IF(E471="","",IFERROR(INDEX(食材マスタ!$H$10:$H$309,MATCH(E471,食材マスタ!$C$10:$C$309,0)),""))</f>
        <v/>
      </c>
      <c r="I471" s="15" t="str">
        <f>IF(E471="","",IFERROR(INDEX(食材マスタ!$K$10:$K$309,MATCH(E471,食材マスタ!$C$10:$C$309,0)),""))</f>
        <v/>
      </c>
      <c r="J471" s="15" t="str">
        <f t="shared" si="35"/>
        <v/>
      </c>
      <c r="K471" s="20"/>
      <c r="L471" s="8" t="str">
        <f t="shared" si="36"/>
        <v/>
      </c>
      <c r="M471" s="9"/>
      <c r="N471" s="13" t="str">
        <f t="shared" si="37"/>
        <v/>
      </c>
      <c r="O471" s="22" t="str">
        <f t="shared" ca="1" si="38"/>
        <v/>
      </c>
      <c r="P471" s="17" t="str">
        <f t="shared" si="39"/>
        <v/>
      </c>
      <c r="Q471" s="11"/>
      <c r="R471" s="19"/>
      <c r="S471" s="19"/>
      <c r="U471">
        <f ca="1">IF(AND(ISNUMBER(O471),O471&lt;=設定!$C$4),1,0)</f>
        <v>0</v>
      </c>
      <c r="V471" t="str">
        <f ca="1">IF(U471=1,SUM($U$10:U471),"")</f>
        <v/>
      </c>
    </row>
    <row r="472" spans="2:22">
      <c r="B472" s="8" t="str">
        <f>IF(C472="","",COUNT($C$10:C472))</f>
        <v/>
      </c>
      <c r="C472" s="20"/>
      <c r="D472" s="11"/>
      <c r="E472" s="9"/>
      <c r="F472" s="21" t="str">
        <f>IF(E472="","",IFERROR(INDEX(食材マスタ!$D$10:$D$309,MATCH(E472,食材マスタ!$C$10:$C$309,0)),"※コード未登録"))</f>
        <v/>
      </c>
      <c r="G472" s="16"/>
      <c r="H472" s="8" t="str">
        <f>IF(E472="","",IFERROR(INDEX(食材マスタ!$H$10:$H$309,MATCH(E472,食材マスタ!$C$10:$C$309,0)),""))</f>
        <v/>
      </c>
      <c r="I472" s="15" t="str">
        <f>IF(E472="","",IFERROR(INDEX(食材マスタ!$K$10:$K$309,MATCH(E472,食材マスタ!$C$10:$C$309,0)),""))</f>
        <v/>
      </c>
      <c r="J472" s="15" t="str">
        <f t="shared" si="35"/>
        <v/>
      </c>
      <c r="K472" s="20"/>
      <c r="L472" s="8" t="str">
        <f t="shared" si="36"/>
        <v/>
      </c>
      <c r="M472" s="9"/>
      <c r="N472" s="13" t="str">
        <f t="shared" si="37"/>
        <v/>
      </c>
      <c r="O472" s="22" t="str">
        <f t="shared" ca="1" si="38"/>
        <v/>
      </c>
      <c r="P472" s="17" t="str">
        <f t="shared" si="39"/>
        <v/>
      </c>
      <c r="Q472" s="11"/>
      <c r="R472" s="19"/>
      <c r="S472" s="19"/>
      <c r="U472">
        <f ca="1">IF(AND(ISNUMBER(O472),O472&lt;=設定!$C$4),1,0)</f>
        <v>0</v>
      </c>
      <c r="V472" t="str">
        <f ca="1">IF(U472=1,SUM($U$10:U472),"")</f>
        <v/>
      </c>
    </row>
    <row r="473" spans="2:22">
      <c r="B473" s="8" t="str">
        <f>IF(C473="","",COUNT($C$10:C473))</f>
        <v/>
      </c>
      <c r="C473" s="20"/>
      <c r="D473" s="11"/>
      <c r="E473" s="9"/>
      <c r="F473" s="21" t="str">
        <f>IF(E473="","",IFERROR(INDEX(食材マスタ!$D$10:$D$309,MATCH(E473,食材マスタ!$C$10:$C$309,0)),"※コード未登録"))</f>
        <v/>
      </c>
      <c r="G473" s="16"/>
      <c r="H473" s="8" t="str">
        <f>IF(E473="","",IFERROR(INDEX(食材マスタ!$H$10:$H$309,MATCH(E473,食材マスタ!$C$10:$C$309,0)),""))</f>
        <v/>
      </c>
      <c r="I473" s="15" t="str">
        <f>IF(E473="","",IFERROR(INDEX(食材マスタ!$K$10:$K$309,MATCH(E473,食材マスタ!$C$10:$C$309,0)),""))</f>
        <v/>
      </c>
      <c r="J473" s="15" t="str">
        <f t="shared" si="35"/>
        <v/>
      </c>
      <c r="K473" s="20"/>
      <c r="L473" s="8" t="str">
        <f t="shared" si="36"/>
        <v/>
      </c>
      <c r="M473" s="9"/>
      <c r="N473" s="13" t="str">
        <f t="shared" si="37"/>
        <v/>
      </c>
      <c r="O473" s="22" t="str">
        <f t="shared" ca="1" si="38"/>
        <v/>
      </c>
      <c r="P473" s="17" t="str">
        <f t="shared" si="39"/>
        <v/>
      </c>
      <c r="Q473" s="11"/>
      <c r="R473" s="19"/>
      <c r="S473" s="19"/>
      <c r="U473">
        <f ca="1">IF(AND(ISNUMBER(O473),O473&lt;=設定!$C$4),1,0)</f>
        <v>0</v>
      </c>
      <c r="V473" t="str">
        <f ca="1">IF(U473=1,SUM($U$10:U473),"")</f>
        <v/>
      </c>
    </row>
    <row r="474" spans="2:22">
      <c r="B474" s="8" t="str">
        <f>IF(C474="","",COUNT($C$10:C474))</f>
        <v/>
      </c>
      <c r="C474" s="20"/>
      <c r="D474" s="11"/>
      <c r="E474" s="9"/>
      <c r="F474" s="21" t="str">
        <f>IF(E474="","",IFERROR(INDEX(食材マスタ!$D$10:$D$309,MATCH(E474,食材マスタ!$C$10:$C$309,0)),"※コード未登録"))</f>
        <v/>
      </c>
      <c r="G474" s="16"/>
      <c r="H474" s="8" t="str">
        <f>IF(E474="","",IFERROR(INDEX(食材マスタ!$H$10:$H$309,MATCH(E474,食材マスタ!$C$10:$C$309,0)),""))</f>
        <v/>
      </c>
      <c r="I474" s="15" t="str">
        <f>IF(E474="","",IFERROR(INDEX(食材マスタ!$K$10:$K$309,MATCH(E474,食材マスタ!$C$10:$C$309,0)),""))</f>
        <v/>
      </c>
      <c r="J474" s="15" t="str">
        <f t="shared" si="35"/>
        <v/>
      </c>
      <c r="K474" s="20"/>
      <c r="L474" s="8" t="str">
        <f t="shared" si="36"/>
        <v/>
      </c>
      <c r="M474" s="9"/>
      <c r="N474" s="13" t="str">
        <f t="shared" si="37"/>
        <v/>
      </c>
      <c r="O474" s="22" t="str">
        <f t="shared" ca="1" si="38"/>
        <v/>
      </c>
      <c r="P474" s="17" t="str">
        <f t="shared" si="39"/>
        <v/>
      </c>
      <c r="Q474" s="11"/>
      <c r="R474" s="19"/>
      <c r="S474" s="19"/>
      <c r="U474">
        <f ca="1">IF(AND(ISNUMBER(O474),O474&lt;=設定!$C$4),1,0)</f>
        <v>0</v>
      </c>
      <c r="V474" t="str">
        <f ca="1">IF(U474=1,SUM($U$10:U474),"")</f>
        <v/>
      </c>
    </row>
    <row r="475" spans="2:22">
      <c r="B475" s="8" t="str">
        <f>IF(C475="","",COUNT($C$10:C475))</f>
        <v/>
      </c>
      <c r="C475" s="20"/>
      <c r="D475" s="11"/>
      <c r="E475" s="9"/>
      <c r="F475" s="21" t="str">
        <f>IF(E475="","",IFERROR(INDEX(食材マスタ!$D$10:$D$309,MATCH(E475,食材マスタ!$C$10:$C$309,0)),"※コード未登録"))</f>
        <v/>
      </c>
      <c r="G475" s="16"/>
      <c r="H475" s="8" t="str">
        <f>IF(E475="","",IFERROR(INDEX(食材マスタ!$H$10:$H$309,MATCH(E475,食材マスタ!$C$10:$C$309,0)),""))</f>
        <v/>
      </c>
      <c r="I475" s="15" t="str">
        <f>IF(E475="","",IFERROR(INDEX(食材マスタ!$K$10:$K$309,MATCH(E475,食材マスタ!$C$10:$C$309,0)),""))</f>
        <v/>
      </c>
      <c r="J475" s="15" t="str">
        <f t="shared" si="35"/>
        <v/>
      </c>
      <c r="K475" s="20"/>
      <c r="L475" s="8" t="str">
        <f t="shared" si="36"/>
        <v/>
      </c>
      <c r="M475" s="9"/>
      <c r="N475" s="13" t="str">
        <f t="shared" si="37"/>
        <v/>
      </c>
      <c r="O475" s="22" t="str">
        <f t="shared" ca="1" si="38"/>
        <v/>
      </c>
      <c r="P475" s="17" t="str">
        <f t="shared" si="39"/>
        <v/>
      </c>
      <c r="Q475" s="11"/>
      <c r="R475" s="19"/>
      <c r="S475" s="19"/>
      <c r="U475">
        <f ca="1">IF(AND(ISNUMBER(O475),O475&lt;=設定!$C$4),1,0)</f>
        <v>0</v>
      </c>
      <c r="V475" t="str">
        <f ca="1">IF(U475=1,SUM($U$10:U475),"")</f>
        <v/>
      </c>
    </row>
    <row r="476" spans="2:22">
      <c r="B476" s="8" t="str">
        <f>IF(C476="","",COUNT($C$10:C476))</f>
        <v/>
      </c>
      <c r="C476" s="20"/>
      <c r="D476" s="11"/>
      <c r="E476" s="9"/>
      <c r="F476" s="21" t="str">
        <f>IF(E476="","",IFERROR(INDEX(食材マスタ!$D$10:$D$309,MATCH(E476,食材マスタ!$C$10:$C$309,0)),"※コード未登録"))</f>
        <v/>
      </c>
      <c r="G476" s="16"/>
      <c r="H476" s="8" t="str">
        <f>IF(E476="","",IFERROR(INDEX(食材マスタ!$H$10:$H$309,MATCH(E476,食材マスタ!$C$10:$C$309,0)),""))</f>
        <v/>
      </c>
      <c r="I476" s="15" t="str">
        <f>IF(E476="","",IFERROR(INDEX(食材マスタ!$K$10:$K$309,MATCH(E476,食材マスタ!$C$10:$C$309,0)),""))</f>
        <v/>
      </c>
      <c r="J476" s="15" t="str">
        <f t="shared" si="35"/>
        <v/>
      </c>
      <c r="K476" s="20"/>
      <c r="L476" s="8" t="str">
        <f t="shared" si="36"/>
        <v/>
      </c>
      <c r="M476" s="9"/>
      <c r="N476" s="13" t="str">
        <f t="shared" si="37"/>
        <v/>
      </c>
      <c r="O476" s="22" t="str">
        <f t="shared" ca="1" si="38"/>
        <v/>
      </c>
      <c r="P476" s="17" t="str">
        <f t="shared" si="39"/>
        <v/>
      </c>
      <c r="Q476" s="11"/>
      <c r="R476" s="19"/>
      <c r="S476" s="19"/>
      <c r="U476">
        <f ca="1">IF(AND(ISNUMBER(O476),O476&lt;=設定!$C$4),1,0)</f>
        <v>0</v>
      </c>
      <c r="V476" t="str">
        <f ca="1">IF(U476=1,SUM($U$10:U476),"")</f>
        <v/>
      </c>
    </row>
    <row r="477" spans="2:22">
      <c r="B477" s="8" t="str">
        <f>IF(C477="","",COUNT($C$10:C477))</f>
        <v/>
      </c>
      <c r="C477" s="20"/>
      <c r="D477" s="11"/>
      <c r="E477" s="9"/>
      <c r="F477" s="21" t="str">
        <f>IF(E477="","",IFERROR(INDEX(食材マスタ!$D$10:$D$309,MATCH(E477,食材マスタ!$C$10:$C$309,0)),"※コード未登録"))</f>
        <v/>
      </c>
      <c r="G477" s="16"/>
      <c r="H477" s="8" t="str">
        <f>IF(E477="","",IFERROR(INDEX(食材マスタ!$H$10:$H$309,MATCH(E477,食材マスタ!$C$10:$C$309,0)),""))</f>
        <v/>
      </c>
      <c r="I477" s="15" t="str">
        <f>IF(E477="","",IFERROR(INDEX(食材マスタ!$K$10:$K$309,MATCH(E477,食材マスタ!$C$10:$C$309,0)),""))</f>
        <v/>
      </c>
      <c r="J477" s="15" t="str">
        <f t="shared" si="35"/>
        <v/>
      </c>
      <c r="K477" s="20"/>
      <c r="L477" s="8" t="str">
        <f t="shared" si="36"/>
        <v/>
      </c>
      <c r="M477" s="9"/>
      <c r="N477" s="13" t="str">
        <f t="shared" si="37"/>
        <v/>
      </c>
      <c r="O477" s="22" t="str">
        <f t="shared" ca="1" si="38"/>
        <v/>
      </c>
      <c r="P477" s="17" t="str">
        <f t="shared" si="39"/>
        <v/>
      </c>
      <c r="Q477" s="11"/>
      <c r="R477" s="19"/>
      <c r="S477" s="19"/>
      <c r="U477">
        <f ca="1">IF(AND(ISNUMBER(O477),O477&lt;=設定!$C$4),1,0)</f>
        <v>0</v>
      </c>
      <c r="V477" t="str">
        <f ca="1">IF(U477=1,SUM($U$10:U477),"")</f>
        <v/>
      </c>
    </row>
    <row r="478" spans="2:22">
      <c r="B478" s="8" t="str">
        <f>IF(C478="","",COUNT($C$10:C478))</f>
        <v/>
      </c>
      <c r="C478" s="20"/>
      <c r="D478" s="11"/>
      <c r="E478" s="9"/>
      <c r="F478" s="21" t="str">
        <f>IF(E478="","",IFERROR(INDEX(食材マスタ!$D$10:$D$309,MATCH(E478,食材マスタ!$C$10:$C$309,0)),"※コード未登録"))</f>
        <v/>
      </c>
      <c r="G478" s="16"/>
      <c r="H478" s="8" t="str">
        <f>IF(E478="","",IFERROR(INDEX(食材マスタ!$H$10:$H$309,MATCH(E478,食材マスタ!$C$10:$C$309,0)),""))</f>
        <v/>
      </c>
      <c r="I478" s="15" t="str">
        <f>IF(E478="","",IFERROR(INDEX(食材マスタ!$K$10:$K$309,MATCH(E478,食材マスタ!$C$10:$C$309,0)),""))</f>
        <v/>
      </c>
      <c r="J478" s="15" t="str">
        <f t="shared" si="35"/>
        <v/>
      </c>
      <c r="K478" s="20"/>
      <c r="L478" s="8" t="str">
        <f t="shared" si="36"/>
        <v/>
      </c>
      <c r="M478" s="9"/>
      <c r="N478" s="13" t="str">
        <f t="shared" si="37"/>
        <v/>
      </c>
      <c r="O478" s="22" t="str">
        <f t="shared" ca="1" si="38"/>
        <v/>
      </c>
      <c r="P478" s="17" t="str">
        <f t="shared" si="39"/>
        <v/>
      </c>
      <c r="Q478" s="11"/>
      <c r="R478" s="19"/>
      <c r="S478" s="19"/>
      <c r="U478">
        <f ca="1">IF(AND(ISNUMBER(O478),O478&lt;=設定!$C$4),1,0)</f>
        <v>0</v>
      </c>
      <c r="V478" t="str">
        <f ca="1">IF(U478=1,SUM($U$10:U478),"")</f>
        <v/>
      </c>
    </row>
    <row r="479" spans="2:22">
      <c r="B479" s="8" t="str">
        <f>IF(C479="","",COUNT($C$10:C479))</f>
        <v/>
      </c>
      <c r="C479" s="20"/>
      <c r="D479" s="11"/>
      <c r="E479" s="9"/>
      <c r="F479" s="21" t="str">
        <f>IF(E479="","",IFERROR(INDEX(食材マスタ!$D$10:$D$309,MATCH(E479,食材マスタ!$C$10:$C$309,0)),"※コード未登録"))</f>
        <v/>
      </c>
      <c r="G479" s="16"/>
      <c r="H479" s="8" t="str">
        <f>IF(E479="","",IFERROR(INDEX(食材マスタ!$H$10:$H$309,MATCH(E479,食材マスタ!$C$10:$C$309,0)),""))</f>
        <v/>
      </c>
      <c r="I479" s="15" t="str">
        <f>IF(E479="","",IFERROR(INDEX(食材マスタ!$K$10:$K$309,MATCH(E479,食材マスタ!$C$10:$C$309,0)),""))</f>
        <v/>
      </c>
      <c r="J479" s="15" t="str">
        <f t="shared" si="35"/>
        <v/>
      </c>
      <c r="K479" s="20"/>
      <c r="L479" s="8" t="str">
        <f t="shared" si="36"/>
        <v/>
      </c>
      <c r="M479" s="9"/>
      <c r="N479" s="13" t="str">
        <f t="shared" si="37"/>
        <v/>
      </c>
      <c r="O479" s="22" t="str">
        <f t="shared" ca="1" si="38"/>
        <v/>
      </c>
      <c r="P479" s="17" t="str">
        <f t="shared" si="39"/>
        <v/>
      </c>
      <c r="Q479" s="11"/>
      <c r="R479" s="19"/>
      <c r="S479" s="19"/>
      <c r="U479">
        <f ca="1">IF(AND(ISNUMBER(O479),O479&lt;=設定!$C$4),1,0)</f>
        <v>0</v>
      </c>
      <c r="V479" t="str">
        <f ca="1">IF(U479=1,SUM($U$10:U479),"")</f>
        <v/>
      </c>
    </row>
    <row r="480" spans="2:22">
      <c r="B480" s="8" t="str">
        <f>IF(C480="","",COUNT($C$10:C480))</f>
        <v/>
      </c>
      <c r="C480" s="20"/>
      <c r="D480" s="11"/>
      <c r="E480" s="9"/>
      <c r="F480" s="21" t="str">
        <f>IF(E480="","",IFERROR(INDEX(食材マスタ!$D$10:$D$309,MATCH(E480,食材マスタ!$C$10:$C$309,0)),"※コード未登録"))</f>
        <v/>
      </c>
      <c r="G480" s="16"/>
      <c r="H480" s="8" t="str">
        <f>IF(E480="","",IFERROR(INDEX(食材マスタ!$H$10:$H$309,MATCH(E480,食材マスタ!$C$10:$C$309,0)),""))</f>
        <v/>
      </c>
      <c r="I480" s="15" t="str">
        <f>IF(E480="","",IFERROR(INDEX(食材マスタ!$K$10:$K$309,MATCH(E480,食材マスタ!$C$10:$C$309,0)),""))</f>
        <v/>
      </c>
      <c r="J480" s="15" t="str">
        <f t="shared" si="35"/>
        <v/>
      </c>
      <c r="K480" s="20"/>
      <c r="L480" s="8" t="str">
        <f t="shared" si="36"/>
        <v/>
      </c>
      <c r="M480" s="9"/>
      <c r="N480" s="13" t="str">
        <f t="shared" si="37"/>
        <v/>
      </c>
      <c r="O480" s="22" t="str">
        <f t="shared" ca="1" si="38"/>
        <v/>
      </c>
      <c r="P480" s="17" t="str">
        <f t="shared" si="39"/>
        <v/>
      </c>
      <c r="Q480" s="11"/>
      <c r="R480" s="19"/>
      <c r="S480" s="19"/>
      <c r="U480">
        <f ca="1">IF(AND(ISNUMBER(O480),O480&lt;=設定!$C$4),1,0)</f>
        <v>0</v>
      </c>
      <c r="V480" t="str">
        <f ca="1">IF(U480=1,SUM($U$10:U480),"")</f>
        <v/>
      </c>
    </row>
    <row r="481" spans="2:22">
      <c r="B481" s="8" t="str">
        <f>IF(C481="","",COUNT($C$10:C481))</f>
        <v/>
      </c>
      <c r="C481" s="20"/>
      <c r="D481" s="11"/>
      <c r="E481" s="9"/>
      <c r="F481" s="21" t="str">
        <f>IF(E481="","",IFERROR(INDEX(食材マスタ!$D$10:$D$309,MATCH(E481,食材マスタ!$C$10:$C$309,0)),"※コード未登録"))</f>
        <v/>
      </c>
      <c r="G481" s="16"/>
      <c r="H481" s="8" t="str">
        <f>IF(E481="","",IFERROR(INDEX(食材マスタ!$H$10:$H$309,MATCH(E481,食材マスタ!$C$10:$C$309,0)),""))</f>
        <v/>
      </c>
      <c r="I481" s="15" t="str">
        <f>IF(E481="","",IFERROR(INDEX(食材マスタ!$K$10:$K$309,MATCH(E481,食材マスタ!$C$10:$C$309,0)),""))</f>
        <v/>
      </c>
      <c r="J481" s="15" t="str">
        <f t="shared" si="35"/>
        <v/>
      </c>
      <c r="K481" s="20"/>
      <c r="L481" s="8" t="str">
        <f t="shared" si="36"/>
        <v/>
      </c>
      <c r="M481" s="9"/>
      <c r="N481" s="13" t="str">
        <f t="shared" si="37"/>
        <v/>
      </c>
      <c r="O481" s="22" t="str">
        <f t="shared" ca="1" si="38"/>
        <v/>
      </c>
      <c r="P481" s="17" t="str">
        <f t="shared" si="39"/>
        <v/>
      </c>
      <c r="Q481" s="11"/>
      <c r="R481" s="19"/>
      <c r="S481" s="19"/>
      <c r="U481">
        <f ca="1">IF(AND(ISNUMBER(O481),O481&lt;=設定!$C$4),1,0)</f>
        <v>0</v>
      </c>
      <c r="V481" t="str">
        <f ca="1">IF(U481=1,SUM($U$10:U481),"")</f>
        <v/>
      </c>
    </row>
    <row r="482" spans="2:22">
      <c r="B482" s="8" t="str">
        <f>IF(C482="","",COUNT($C$10:C482))</f>
        <v/>
      </c>
      <c r="C482" s="20"/>
      <c r="D482" s="11"/>
      <c r="E482" s="9"/>
      <c r="F482" s="21" t="str">
        <f>IF(E482="","",IFERROR(INDEX(食材マスタ!$D$10:$D$309,MATCH(E482,食材マスタ!$C$10:$C$309,0)),"※コード未登録"))</f>
        <v/>
      </c>
      <c r="G482" s="16"/>
      <c r="H482" s="8" t="str">
        <f>IF(E482="","",IFERROR(INDEX(食材マスタ!$H$10:$H$309,MATCH(E482,食材マスタ!$C$10:$C$309,0)),""))</f>
        <v/>
      </c>
      <c r="I482" s="15" t="str">
        <f>IF(E482="","",IFERROR(INDEX(食材マスタ!$K$10:$K$309,MATCH(E482,食材マスタ!$C$10:$C$309,0)),""))</f>
        <v/>
      </c>
      <c r="J482" s="15" t="str">
        <f t="shared" si="35"/>
        <v/>
      </c>
      <c r="K482" s="20"/>
      <c r="L482" s="8" t="str">
        <f t="shared" si="36"/>
        <v/>
      </c>
      <c r="M482" s="9"/>
      <c r="N482" s="13" t="str">
        <f t="shared" si="37"/>
        <v/>
      </c>
      <c r="O482" s="22" t="str">
        <f t="shared" ca="1" si="38"/>
        <v/>
      </c>
      <c r="P482" s="17" t="str">
        <f t="shared" si="39"/>
        <v/>
      </c>
      <c r="Q482" s="11"/>
      <c r="R482" s="19"/>
      <c r="S482" s="19"/>
      <c r="U482">
        <f ca="1">IF(AND(ISNUMBER(O482),O482&lt;=設定!$C$4),1,0)</f>
        <v>0</v>
      </c>
      <c r="V482" t="str">
        <f ca="1">IF(U482=1,SUM($U$10:U482),"")</f>
        <v/>
      </c>
    </row>
    <row r="483" spans="2:22">
      <c r="B483" s="8" t="str">
        <f>IF(C483="","",COUNT($C$10:C483))</f>
        <v/>
      </c>
      <c r="C483" s="20"/>
      <c r="D483" s="11"/>
      <c r="E483" s="9"/>
      <c r="F483" s="21" t="str">
        <f>IF(E483="","",IFERROR(INDEX(食材マスタ!$D$10:$D$309,MATCH(E483,食材マスタ!$C$10:$C$309,0)),"※コード未登録"))</f>
        <v/>
      </c>
      <c r="G483" s="16"/>
      <c r="H483" s="8" t="str">
        <f>IF(E483="","",IFERROR(INDEX(食材マスタ!$H$10:$H$309,MATCH(E483,食材マスタ!$C$10:$C$309,0)),""))</f>
        <v/>
      </c>
      <c r="I483" s="15" t="str">
        <f>IF(E483="","",IFERROR(INDEX(食材マスタ!$K$10:$K$309,MATCH(E483,食材マスタ!$C$10:$C$309,0)),""))</f>
        <v/>
      </c>
      <c r="J483" s="15" t="str">
        <f t="shared" si="35"/>
        <v/>
      </c>
      <c r="K483" s="20"/>
      <c r="L483" s="8" t="str">
        <f t="shared" si="36"/>
        <v/>
      </c>
      <c r="M483" s="9"/>
      <c r="N483" s="13" t="str">
        <f t="shared" si="37"/>
        <v/>
      </c>
      <c r="O483" s="22" t="str">
        <f t="shared" ca="1" si="38"/>
        <v/>
      </c>
      <c r="P483" s="17" t="str">
        <f t="shared" si="39"/>
        <v/>
      </c>
      <c r="Q483" s="11"/>
      <c r="R483" s="19"/>
      <c r="S483" s="19"/>
      <c r="U483">
        <f ca="1">IF(AND(ISNUMBER(O483),O483&lt;=設定!$C$4),1,0)</f>
        <v>0</v>
      </c>
      <c r="V483" t="str">
        <f ca="1">IF(U483=1,SUM($U$10:U483),"")</f>
        <v/>
      </c>
    </row>
    <row r="484" spans="2:22">
      <c r="B484" s="8" t="str">
        <f>IF(C484="","",COUNT($C$10:C484))</f>
        <v/>
      </c>
      <c r="C484" s="20"/>
      <c r="D484" s="11"/>
      <c r="E484" s="9"/>
      <c r="F484" s="21" t="str">
        <f>IF(E484="","",IFERROR(INDEX(食材マスタ!$D$10:$D$309,MATCH(E484,食材マスタ!$C$10:$C$309,0)),"※コード未登録"))</f>
        <v/>
      </c>
      <c r="G484" s="16"/>
      <c r="H484" s="8" t="str">
        <f>IF(E484="","",IFERROR(INDEX(食材マスタ!$H$10:$H$309,MATCH(E484,食材マスタ!$C$10:$C$309,0)),""))</f>
        <v/>
      </c>
      <c r="I484" s="15" t="str">
        <f>IF(E484="","",IFERROR(INDEX(食材マスタ!$K$10:$K$309,MATCH(E484,食材マスタ!$C$10:$C$309,0)),""))</f>
        <v/>
      </c>
      <c r="J484" s="15" t="str">
        <f t="shared" si="35"/>
        <v/>
      </c>
      <c r="K484" s="20"/>
      <c r="L484" s="8" t="str">
        <f t="shared" si="36"/>
        <v/>
      </c>
      <c r="M484" s="9"/>
      <c r="N484" s="13" t="str">
        <f t="shared" si="37"/>
        <v/>
      </c>
      <c r="O484" s="22" t="str">
        <f t="shared" ca="1" si="38"/>
        <v/>
      </c>
      <c r="P484" s="17" t="str">
        <f t="shared" si="39"/>
        <v/>
      </c>
      <c r="Q484" s="11"/>
      <c r="R484" s="19"/>
      <c r="S484" s="19"/>
      <c r="U484">
        <f ca="1">IF(AND(ISNUMBER(O484),O484&lt;=設定!$C$4),1,0)</f>
        <v>0</v>
      </c>
      <c r="V484" t="str">
        <f ca="1">IF(U484=1,SUM($U$10:U484),"")</f>
        <v/>
      </c>
    </row>
    <row r="485" spans="2:22">
      <c r="B485" s="8" t="str">
        <f>IF(C485="","",COUNT($C$10:C485))</f>
        <v/>
      </c>
      <c r="C485" s="20"/>
      <c r="D485" s="11"/>
      <c r="E485" s="9"/>
      <c r="F485" s="21" t="str">
        <f>IF(E485="","",IFERROR(INDEX(食材マスタ!$D$10:$D$309,MATCH(E485,食材マスタ!$C$10:$C$309,0)),"※コード未登録"))</f>
        <v/>
      </c>
      <c r="G485" s="16"/>
      <c r="H485" s="8" t="str">
        <f>IF(E485="","",IFERROR(INDEX(食材マスタ!$H$10:$H$309,MATCH(E485,食材マスタ!$C$10:$C$309,0)),""))</f>
        <v/>
      </c>
      <c r="I485" s="15" t="str">
        <f>IF(E485="","",IFERROR(INDEX(食材マスタ!$K$10:$K$309,MATCH(E485,食材マスタ!$C$10:$C$309,0)),""))</f>
        <v/>
      </c>
      <c r="J485" s="15" t="str">
        <f t="shared" si="35"/>
        <v/>
      </c>
      <c r="K485" s="20"/>
      <c r="L485" s="8" t="str">
        <f t="shared" si="36"/>
        <v/>
      </c>
      <c r="M485" s="9"/>
      <c r="N485" s="13" t="str">
        <f t="shared" si="37"/>
        <v/>
      </c>
      <c r="O485" s="22" t="str">
        <f t="shared" ca="1" si="38"/>
        <v/>
      </c>
      <c r="P485" s="17" t="str">
        <f t="shared" si="39"/>
        <v/>
      </c>
      <c r="Q485" s="11"/>
      <c r="R485" s="19"/>
      <c r="S485" s="19"/>
      <c r="U485">
        <f ca="1">IF(AND(ISNUMBER(O485),O485&lt;=設定!$C$4),1,0)</f>
        <v>0</v>
      </c>
      <c r="V485" t="str">
        <f ca="1">IF(U485=1,SUM($U$10:U485),"")</f>
        <v/>
      </c>
    </row>
    <row r="486" spans="2:22">
      <c r="B486" s="8" t="str">
        <f>IF(C486="","",COUNT($C$10:C486))</f>
        <v/>
      </c>
      <c r="C486" s="20"/>
      <c r="D486" s="11"/>
      <c r="E486" s="9"/>
      <c r="F486" s="21" t="str">
        <f>IF(E486="","",IFERROR(INDEX(食材マスタ!$D$10:$D$309,MATCH(E486,食材マスタ!$C$10:$C$309,0)),"※コード未登録"))</f>
        <v/>
      </c>
      <c r="G486" s="16"/>
      <c r="H486" s="8" t="str">
        <f>IF(E486="","",IFERROR(INDEX(食材マスタ!$H$10:$H$309,MATCH(E486,食材マスタ!$C$10:$C$309,0)),""))</f>
        <v/>
      </c>
      <c r="I486" s="15" t="str">
        <f>IF(E486="","",IFERROR(INDEX(食材マスタ!$K$10:$K$309,MATCH(E486,食材マスタ!$C$10:$C$309,0)),""))</f>
        <v/>
      </c>
      <c r="J486" s="15" t="str">
        <f t="shared" si="35"/>
        <v/>
      </c>
      <c r="K486" s="20"/>
      <c r="L486" s="8" t="str">
        <f t="shared" si="36"/>
        <v/>
      </c>
      <c r="M486" s="9"/>
      <c r="N486" s="13" t="str">
        <f t="shared" si="37"/>
        <v/>
      </c>
      <c r="O486" s="22" t="str">
        <f t="shared" ca="1" si="38"/>
        <v/>
      </c>
      <c r="P486" s="17" t="str">
        <f t="shared" si="39"/>
        <v/>
      </c>
      <c r="Q486" s="11"/>
      <c r="R486" s="19"/>
      <c r="S486" s="19"/>
      <c r="U486">
        <f ca="1">IF(AND(ISNUMBER(O486),O486&lt;=設定!$C$4),1,0)</f>
        <v>0</v>
      </c>
      <c r="V486" t="str">
        <f ca="1">IF(U486=1,SUM($U$10:U486),"")</f>
        <v/>
      </c>
    </row>
    <row r="487" spans="2:22">
      <c r="B487" s="8" t="str">
        <f>IF(C487="","",COUNT($C$10:C487))</f>
        <v/>
      </c>
      <c r="C487" s="20"/>
      <c r="D487" s="11"/>
      <c r="E487" s="9"/>
      <c r="F487" s="21" t="str">
        <f>IF(E487="","",IFERROR(INDEX(食材マスタ!$D$10:$D$309,MATCH(E487,食材マスタ!$C$10:$C$309,0)),"※コード未登録"))</f>
        <v/>
      </c>
      <c r="G487" s="16"/>
      <c r="H487" s="8" t="str">
        <f>IF(E487="","",IFERROR(INDEX(食材マスタ!$H$10:$H$309,MATCH(E487,食材マスタ!$C$10:$C$309,0)),""))</f>
        <v/>
      </c>
      <c r="I487" s="15" t="str">
        <f>IF(E487="","",IFERROR(INDEX(食材マスタ!$K$10:$K$309,MATCH(E487,食材マスタ!$C$10:$C$309,0)),""))</f>
        <v/>
      </c>
      <c r="J487" s="15" t="str">
        <f t="shared" si="35"/>
        <v/>
      </c>
      <c r="K487" s="20"/>
      <c r="L487" s="8" t="str">
        <f t="shared" si="36"/>
        <v/>
      </c>
      <c r="M487" s="9"/>
      <c r="N487" s="13" t="str">
        <f t="shared" si="37"/>
        <v/>
      </c>
      <c r="O487" s="22" t="str">
        <f t="shared" ca="1" si="38"/>
        <v/>
      </c>
      <c r="P487" s="17" t="str">
        <f t="shared" si="39"/>
        <v/>
      </c>
      <c r="Q487" s="11"/>
      <c r="R487" s="19"/>
      <c r="S487" s="19"/>
      <c r="U487">
        <f ca="1">IF(AND(ISNUMBER(O487),O487&lt;=設定!$C$4),1,0)</f>
        <v>0</v>
      </c>
      <c r="V487" t="str">
        <f ca="1">IF(U487=1,SUM($U$10:U487),"")</f>
        <v/>
      </c>
    </row>
    <row r="488" spans="2:22">
      <c r="B488" s="8" t="str">
        <f>IF(C488="","",COUNT($C$10:C488))</f>
        <v/>
      </c>
      <c r="C488" s="20"/>
      <c r="D488" s="11"/>
      <c r="E488" s="9"/>
      <c r="F488" s="21" t="str">
        <f>IF(E488="","",IFERROR(INDEX(食材マスタ!$D$10:$D$309,MATCH(E488,食材マスタ!$C$10:$C$309,0)),"※コード未登録"))</f>
        <v/>
      </c>
      <c r="G488" s="16"/>
      <c r="H488" s="8" t="str">
        <f>IF(E488="","",IFERROR(INDEX(食材マスタ!$H$10:$H$309,MATCH(E488,食材マスタ!$C$10:$C$309,0)),""))</f>
        <v/>
      </c>
      <c r="I488" s="15" t="str">
        <f>IF(E488="","",IFERROR(INDEX(食材マスタ!$K$10:$K$309,MATCH(E488,食材マスタ!$C$10:$C$309,0)),""))</f>
        <v/>
      </c>
      <c r="J488" s="15" t="str">
        <f t="shared" si="35"/>
        <v/>
      </c>
      <c r="K488" s="20"/>
      <c r="L488" s="8" t="str">
        <f t="shared" si="36"/>
        <v/>
      </c>
      <c r="M488" s="9"/>
      <c r="N488" s="13" t="str">
        <f t="shared" si="37"/>
        <v/>
      </c>
      <c r="O488" s="22" t="str">
        <f t="shared" ca="1" si="38"/>
        <v/>
      </c>
      <c r="P488" s="17" t="str">
        <f t="shared" si="39"/>
        <v/>
      </c>
      <c r="Q488" s="11"/>
      <c r="R488" s="19"/>
      <c r="S488" s="19"/>
      <c r="U488">
        <f ca="1">IF(AND(ISNUMBER(O488),O488&lt;=設定!$C$4),1,0)</f>
        <v>0</v>
      </c>
      <c r="V488" t="str">
        <f ca="1">IF(U488=1,SUM($U$10:U488),"")</f>
        <v/>
      </c>
    </row>
    <row r="489" spans="2:22">
      <c r="B489" s="8" t="str">
        <f>IF(C489="","",COUNT($C$10:C489))</f>
        <v/>
      </c>
      <c r="C489" s="20"/>
      <c r="D489" s="11"/>
      <c r="E489" s="9"/>
      <c r="F489" s="21" t="str">
        <f>IF(E489="","",IFERROR(INDEX(食材マスタ!$D$10:$D$309,MATCH(E489,食材マスタ!$C$10:$C$309,0)),"※コード未登録"))</f>
        <v/>
      </c>
      <c r="G489" s="16"/>
      <c r="H489" s="8" t="str">
        <f>IF(E489="","",IFERROR(INDEX(食材マスタ!$H$10:$H$309,MATCH(E489,食材マスタ!$C$10:$C$309,0)),""))</f>
        <v/>
      </c>
      <c r="I489" s="15" t="str">
        <f>IF(E489="","",IFERROR(INDEX(食材マスタ!$K$10:$K$309,MATCH(E489,食材マスタ!$C$10:$C$309,0)),""))</f>
        <v/>
      </c>
      <c r="J489" s="15" t="str">
        <f t="shared" si="35"/>
        <v/>
      </c>
      <c r="K489" s="20"/>
      <c r="L489" s="8" t="str">
        <f t="shared" si="36"/>
        <v/>
      </c>
      <c r="M489" s="9"/>
      <c r="N489" s="13" t="str">
        <f t="shared" si="37"/>
        <v/>
      </c>
      <c r="O489" s="22" t="str">
        <f t="shared" ca="1" si="38"/>
        <v/>
      </c>
      <c r="P489" s="17" t="str">
        <f t="shared" si="39"/>
        <v/>
      </c>
      <c r="Q489" s="11"/>
      <c r="R489" s="19"/>
      <c r="S489" s="19"/>
      <c r="U489">
        <f ca="1">IF(AND(ISNUMBER(O489),O489&lt;=設定!$C$4),1,0)</f>
        <v>0</v>
      </c>
      <c r="V489" t="str">
        <f ca="1">IF(U489=1,SUM($U$10:U489),"")</f>
        <v/>
      </c>
    </row>
    <row r="490" spans="2:22">
      <c r="B490" s="8" t="str">
        <f>IF(C490="","",COUNT($C$10:C490))</f>
        <v/>
      </c>
      <c r="C490" s="20"/>
      <c r="D490" s="11"/>
      <c r="E490" s="9"/>
      <c r="F490" s="21" t="str">
        <f>IF(E490="","",IFERROR(INDEX(食材マスタ!$D$10:$D$309,MATCH(E490,食材マスタ!$C$10:$C$309,0)),"※コード未登録"))</f>
        <v/>
      </c>
      <c r="G490" s="16"/>
      <c r="H490" s="8" t="str">
        <f>IF(E490="","",IFERROR(INDEX(食材マスタ!$H$10:$H$309,MATCH(E490,食材マスタ!$C$10:$C$309,0)),""))</f>
        <v/>
      </c>
      <c r="I490" s="15" t="str">
        <f>IF(E490="","",IFERROR(INDEX(食材マスタ!$K$10:$K$309,MATCH(E490,食材マスタ!$C$10:$C$309,0)),""))</f>
        <v/>
      </c>
      <c r="J490" s="15" t="str">
        <f t="shared" si="35"/>
        <v/>
      </c>
      <c r="K490" s="20"/>
      <c r="L490" s="8" t="str">
        <f t="shared" si="36"/>
        <v/>
      </c>
      <c r="M490" s="9"/>
      <c r="N490" s="13" t="str">
        <f t="shared" si="37"/>
        <v/>
      </c>
      <c r="O490" s="22" t="str">
        <f t="shared" ca="1" si="38"/>
        <v/>
      </c>
      <c r="P490" s="17" t="str">
        <f t="shared" si="39"/>
        <v/>
      </c>
      <c r="Q490" s="11"/>
      <c r="R490" s="19"/>
      <c r="S490" s="19"/>
      <c r="U490">
        <f ca="1">IF(AND(ISNUMBER(O490),O490&lt;=設定!$C$4),1,0)</f>
        <v>0</v>
      </c>
      <c r="V490" t="str">
        <f ca="1">IF(U490=1,SUM($U$10:U490),"")</f>
        <v/>
      </c>
    </row>
    <row r="491" spans="2:22">
      <c r="B491" s="8" t="str">
        <f>IF(C491="","",COUNT($C$10:C491))</f>
        <v/>
      </c>
      <c r="C491" s="20"/>
      <c r="D491" s="11"/>
      <c r="E491" s="9"/>
      <c r="F491" s="21" t="str">
        <f>IF(E491="","",IFERROR(INDEX(食材マスタ!$D$10:$D$309,MATCH(E491,食材マスタ!$C$10:$C$309,0)),"※コード未登録"))</f>
        <v/>
      </c>
      <c r="G491" s="16"/>
      <c r="H491" s="8" t="str">
        <f>IF(E491="","",IFERROR(INDEX(食材マスタ!$H$10:$H$309,MATCH(E491,食材マスタ!$C$10:$C$309,0)),""))</f>
        <v/>
      </c>
      <c r="I491" s="15" t="str">
        <f>IF(E491="","",IFERROR(INDEX(食材マスタ!$K$10:$K$309,MATCH(E491,食材マスタ!$C$10:$C$309,0)),""))</f>
        <v/>
      </c>
      <c r="J491" s="15" t="str">
        <f t="shared" si="35"/>
        <v/>
      </c>
      <c r="K491" s="20"/>
      <c r="L491" s="8" t="str">
        <f t="shared" si="36"/>
        <v/>
      </c>
      <c r="M491" s="9"/>
      <c r="N491" s="13" t="str">
        <f t="shared" si="37"/>
        <v/>
      </c>
      <c r="O491" s="22" t="str">
        <f t="shared" ca="1" si="38"/>
        <v/>
      </c>
      <c r="P491" s="17" t="str">
        <f t="shared" si="39"/>
        <v/>
      </c>
      <c r="Q491" s="11"/>
      <c r="R491" s="19"/>
      <c r="S491" s="19"/>
      <c r="U491">
        <f ca="1">IF(AND(ISNUMBER(O491),O491&lt;=設定!$C$4),1,0)</f>
        <v>0</v>
      </c>
      <c r="V491" t="str">
        <f ca="1">IF(U491=1,SUM($U$10:U491),"")</f>
        <v/>
      </c>
    </row>
    <row r="492" spans="2:22">
      <c r="B492" s="8" t="str">
        <f>IF(C492="","",COUNT($C$10:C492))</f>
        <v/>
      </c>
      <c r="C492" s="20"/>
      <c r="D492" s="11"/>
      <c r="E492" s="9"/>
      <c r="F492" s="21" t="str">
        <f>IF(E492="","",IFERROR(INDEX(食材マスタ!$D$10:$D$309,MATCH(E492,食材マスタ!$C$10:$C$309,0)),"※コード未登録"))</f>
        <v/>
      </c>
      <c r="G492" s="16"/>
      <c r="H492" s="8" t="str">
        <f>IF(E492="","",IFERROR(INDEX(食材マスタ!$H$10:$H$309,MATCH(E492,食材マスタ!$C$10:$C$309,0)),""))</f>
        <v/>
      </c>
      <c r="I492" s="15" t="str">
        <f>IF(E492="","",IFERROR(INDEX(食材マスタ!$K$10:$K$309,MATCH(E492,食材マスタ!$C$10:$C$309,0)),""))</f>
        <v/>
      </c>
      <c r="J492" s="15" t="str">
        <f t="shared" si="35"/>
        <v/>
      </c>
      <c r="K492" s="20"/>
      <c r="L492" s="8" t="str">
        <f t="shared" si="36"/>
        <v/>
      </c>
      <c r="M492" s="9"/>
      <c r="N492" s="13" t="str">
        <f t="shared" si="37"/>
        <v/>
      </c>
      <c r="O492" s="22" t="str">
        <f t="shared" ca="1" si="38"/>
        <v/>
      </c>
      <c r="P492" s="17" t="str">
        <f t="shared" si="39"/>
        <v/>
      </c>
      <c r="Q492" s="11"/>
      <c r="R492" s="19"/>
      <c r="S492" s="19"/>
      <c r="U492">
        <f ca="1">IF(AND(ISNUMBER(O492),O492&lt;=設定!$C$4),1,0)</f>
        <v>0</v>
      </c>
      <c r="V492" t="str">
        <f ca="1">IF(U492=1,SUM($U$10:U492),"")</f>
        <v/>
      </c>
    </row>
    <row r="493" spans="2:22">
      <c r="B493" s="8" t="str">
        <f>IF(C493="","",COUNT($C$10:C493))</f>
        <v/>
      </c>
      <c r="C493" s="20"/>
      <c r="D493" s="11"/>
      <c r="E493" s="9"/>
      <c r="F493" s="21" t="str">
        <f>IF(E493="","",IFERROR(INDEX(食材マスタ!$D$10:$D$309,MATCH(E493,食材マスタ!$C$10:$C$309,0)),"※コード未登録"))</f>
        <v/>
      </c>
      <c r="G493" s="16"/>
      <c r="H493" s="8" t="str">
        <f>IF(E493="","",IFERROR(INDEX(食材マスタ!$H$10:$H$309,MATCH(E493,食材マスタ!$C$10:$C$309,0)),""))</f>
        <v/>
      </c>
      <c r="I493" s="15" t="str">
        <f>IF(E493="","",IFERROR(INDEX(食材マスタ!$K$10:$K$309,MATCH(E493,食材マスタ!$C$10:$C$309,0)),""))</f>
        <v/>
      </c>
      <c r="J493" s="15" t="str">
        <f t="shared" si="35"/>
        <v/>
      </c>
      <c r="K493" s="20"/>
      <c r="L493" s="8" t="str">
        <f t="shared" si="36"/>
        <v/>
      </c>
      <c r="M493" s="9"/>
      <c r="N493" s="13" t="str">
        <f t="shared" si="37"/>
        <v/>
      </c>
      <c r="O493" s="22" t="str">
        <f t="shared" ca="1" si="38"/>
        <v/>
      </c>
      <c r="P493" s="17" t="str">
        <f t="shared" si="39"/>
        <v/>
      </c>
      <c r="Q493" s="11"/>
      <c r="R493" s="19"/>
      <c r="S493" s="19"/>
      <c r="U493">
        <f ca="1">IF(AND(ISNUMBER(O493),O493&lt;=設定!$C$4),1,0)</f>
        <v>0</v>
      </c>
      <c r="V493" t="str">
        <f ca="1">IF(U493=1,SUM($U$10:U493),"")</f>
        <v/>
      </c>
    </row>
    <row r="494" spans="2:22">
      <c r="B494" s="8" t="str">
        <f>IF(C494="","",COUNT($C$10:C494))</f>
        <v/>
      </c>
      <c r="C494" s="20"/>
      <c r="D494" s="11"/>
      <c r="E494" s="9"/>
      <c r="F494" s="21" t="str">
        <f>IF(E494="","",IFERROR(INDEX(食材マスタ!$D$10:$D$309,MATCH(E494,食材マスタ!$C$10:$C$309,0)),"※コード未登録"))</f>
        <v/>
      </c>
      <c r="G494" s="16"/>
      <c r="H494" s="8" t="str">
        <f>IF(E494="","",IFERROR(INDEX(食材マスタ!$H$10:$H$309,MATCH(E494,食材マスタ!$C$10:$C$309,0)),""))</f>
        <v/>
      </c>
      <c r="I494" s="15" t="str">
        <f>IF(E494="","",IFERROR(INDEX(食材マスタ!$K$10:$K$309,MATCH(E494,食材マスタ!$C$10:$C$309,0)),""))</f>
        <v/>
      </c>
      <c r="J494" s="15" t="str">
        <f t="shared" si="35"/>
        <v/>
      </c>
      <c r="K494" s="20"/>
      <c r="L494" s="8" t="str">
        <f t="shared" si="36"/>
        <v/>
      </c>
      <c r="M494" s="9"/>
      <c r="N494" s="13" t="str">
        <f t="shared" si="37"/>
        <v/>
      </c>
      <c r="O494" s="22" t="str">
        <f t="shared" ca="1" si="38"/>
        <v/>
      </c>
      <c r="P494" s="17" t="str">
        <f t="shared" si="39"/>
        <v/>
      </c>
      <c r="Q494" s="11"/>
      <c r="R494" s="19"/>
      <c r="S494" s="19"/>
      <c r="U494">
        <f ca="1">IF(AND(ISNUMBER(O494),O494&lt;=設定!$C$4),1,0)</f>
        <v>0</v>
      </c>
      <c r="V494" t="str">
        <f ca="1">IF(U494=1,SUM($U$10:U494),"")</f>
        <v/>
      </c>
    </row>
    <row r="495" spans="2:22">
      <c r="B495" s="8" t="str">
        <f>IF(C495="","",COUNT($C$10:C495))</f>
        <v/>
      </c>
      <c r="C495" s="20"/>
      <c r="D495" s="11"/>
      <c r="E495" s="9"/>
      <c r="F495" s="21" t="str">
        <f>IF(E495="","",IFERROR(INDEX(食材マスタ!$D$10:$D$309,MATCH(E495,食材マスタ!$C$10:$C$309,0)),"※コード未登録"))</f>
        <v/>
      </c>
      <c r="G495" s="16"/>
      <c r="H495" s="8" t="str">
        <f>IF(E495="","",IFERROR(INDEX(食材マスタ!$H$10:$H$309,MATCH(E495,食材マスタ!$C$10:$C$309,0)),""))</f>
        <v/>
      </c>
      <c r="I495" s="15" t="str">
        <f>IF(E495="","",IFERROR(INDEX(食材マスタ!$K$10:$K$309,MATCH(E495,食材マスタ!$C$10:$C$309,0)),""))</f>
        <v/>
      </c>
      <c r="J495" s="15" t="str">
        <f t="shared" si="35"/>
        <v/>
      </c>
      <c r="K495" s="20"/>
      <c r="L495" s="8" t="str">
        <f t="shared" si="36"/>
        <v/>
      </c>
      <c r="M495" s="9"/>
      <c r="N495" s="13" t="str">
        <f t="shared" si="37"/>
        <v/>
      </c>
      <c r="O495" s="22" t="str">
        <f t="shared" ca="1" si="38"/>
        <v/>
      </c>
      <c r="P495" s="17" t="str">
        <f t="shared" si="39"/>
        <v/>
      </c>
      <c r="Q495" s="11"/>
      <c r="R495" s="19"/>
      <c r="S495" s="19"/>
      <c r="U495">
        <f ca="1">IF(AND(ISNUMBER(O495),O495&lt;=設定!$C$4),1,0)</f>
        <v>0</v>
      </c>
      <c r="V495" t="str">
        <f ca="1">IF(U495=1,SUM($U$10:U495),"")</f>
        <v/>
      </c>
    </row>
    <row r="496" spans="2:22">
      <c r="B496" s="8" t="str">
        <f>IF(C496="","",COUNT($C$10:C496))</f>
        <v/>
      </c>
      <c r="C496" s="20"/>
      <c r="D496" s="11"/>
      <c r="E496" s="9"/>
      <c r="F496" s="21" t="str">
        <f>IF(E496="","",IFERROR(INDEX(食材マスタ!$D$10:$D$309,MATCH(E496,食材マスタ!$C$10:$C$309,0)),"※コード未登録"))</f>
        <v/>
      </c>
      <c r="G496" s="16"/>
      <c r="H496" s="8" t="str">
        <f>IF(E496="","",IFERROR(INDEX(食材マスタ!$H$10:$H$309,MATCH(E496,食材マスタ!$C$10:$C$309,0)),""))</f>
        <v/>
      </c>
      <c r="I496" s="15" t="str">
        <f>IF(E496="","",IFERROR(INDEX(食材マスタ!$K$10:$K$309,MATCH(E496,食材マスタ!$C$10:$C$309,0)),""))</f>
        <v/>
      </c>
      <c r="J496" s="15" t="str">
        <f t="shared" si="35"/>
        <v/>
      </c>
      <c r="K496" s="20"/>
      <c r="L496" s="8" t="str">
        <f t="shared" si="36"/>
        <v/>
      </c>
      <c r="M496" s="9"/>
      <c r="N496" s="13" t="str">
        <f t="shared" si="37"/>
        <v/>
      </c>
      <c r="O496" s="22" t="str">
        <f t="shared" ca="1" si="38"/>
        <v/>
      </c>
      <c r="P496" s="17" t="str">
        <f t="shared" si="39"/>
        <v/>
      </c>
      <c r="Q496" s="11"/>
      <c r="R496" s="19"/>
      <c r="S496" s="19"/>
      <c r="U496">
        <f ca="1">IF(AND(ISNUMBER(O496),O496&lt;=設定!$C$4),1,0)</f>
        <v>0</v>
      </c>
      <c r="V496" t="str">
        <f ca="1">IF(U496=1,SUM($U$10:U496),"")</f>
        <v/>
      </c>
    </row>
    <row r="497" spans="2:22">
      <c r="B497" s="8" t="str">
        <f>IF(C497="","",COUNT($C$10:C497))</f>
        <v/>
      </c>
      <c r="C497" s="20"/>
      <c r="D497" s="11"/>
      <c r="E497" s="9"/>
      <c r="F497" s="21" t="str">
        <f>IF(E497="","",IFERROR(INDEX(食材マスタ!$D$10:$D$309,MATCH(E497,食材マスタ!$C$10:$C$309,0)),"※コード未登録"))</f>
        <v/>
      </c>
      <c r="G497" s="16"/>
      <c r="H497" s="8" t="str">
        <f>IF(E497="","",IFERROR(INDEX(食材マスタ!$H$10:$H$309,MATCH(E497,食材マスタ!$C$10:$C$309,0)),""))</f>
        <v/>
      </c>
      <c r="I497" s="15" t="str">
        <f>IF(E497="","",IFERROR(INDEX(食材マスタ!$K$10:$K$309,MATCH(E497,食材マスタ!$C$10:$C$309,0)),""))</f>
        <v/>
      </c>
      <c r="J497" s="15" t="str">
        <f t="shared" si="35"/>
        <v/>
      </c>
      <c r="K497" s="20"/>
      <c r="L497" s="8" t="str">
        <f t="shared" si="36"/>
        <v/>
      </c>
      <c r="M497" s="9"/>
      <c r="N497" s="13" t="str">
        <f t="shared" si="37"/>
        <v/>
      </c>
      <c r="O497" s="22" t="str">
        <f t="shared" ca="1" si="38"/>
        <v/>
      </c>
      <c r="P497" s="17" t="str">
        <f t="shared" si="39"/>
        <v/>
      </c>
      <c r="Q497" s="11"/>
      <c r="R497" s="19"/>
      <c r="S497" s="19"/>
      <c r="U497">
        <f ca="1">IF(AND(ISNUMBER(O497),O497&lt;=設定!$C$4),1,0)</f>
        <v>0</v>
      </c>
      <c r="V497" t="str">
        <f ca="1">IF(U497=1,SUM($U$10:U497),"")</f>
        <v/>
      </c>
    </row>
    <row r="498" spans="2:22">
      <c r="B498" s="8" t="str">
        <f>IF(C498="","",COUNT($C$10:C498))</f>
        <v/>
      </c>
      <c r="C498" s="20"/>
      <c r="D498" s="11"/>
      <c r="E498" s="9"/>
      <c r="F498" s="21" t="str">
        <f>IF(E498="","",IFERROR(INDEX(食材マスタ!$D$10:$D$309,MATCH(E498,食材マスタ!$C$10:$C$309,0)),"※コード未登録"))</f>
        <v/>
      </c>
      <c r="G498" s="16"/>
      <c r="H498" s="8" t="str">
        <f>IF(E498="","",IFERROR(INDEX(食材マスタ!$H$10:$H$309,MATCH(E498,食材マスタ!$C$10:$C$309,0)),""))</f>
        <v/>
      </c>
      <c r="I498" s="15" t="str">
        <f>IF(E498="","",IFERROR(INDEX(食材マスタ!$K$10:$K$309,MATCH(E498,食材マスタ!$C$10:$C$309,0)),""))</f>
        <v/>
      </c>
      <c r="J498" s="15" t="str">
        <f t="shared" si="35"/>
        <v/>
      </c>
      <c r="K498" s="20"/>
      <c r="L498" s="8" t="str">
        <f t="shared" si="36"/>
        <v/>
      </c>
      <c r="M498" s="9"/>
      <c r="N498" s="13" t="str">
        <f t="shared" si="37"/>
        <v/>
      </c>
      <c r="O498" s="22" t="str">
        <f t="shared" ca="1" si="38"/>
        <v/>
      </c>
      <c r="P498" s="17" t="str">
        <f t="shared" si="39"/>
        <v/>
      </c>
      <c r="Q498" s="11"/>
      <c r="R498" s="19"/>
      <c r="S498" s="19"/>
      <c r="U498">
        <f ca="1">IF(AND(ISNUMBER(O498),O498&lt;=設定!$C$4),1,0)</f>
        <v>0</v>
      </c>
      <c r="V498" t="str">
        <f ca="1">IF(U498=1,SUM($U$10:U498),"")</f>
        <v/>
      </c>
    </row>
    <row r="499" spans="2:22">
      <c r="B499" s="8" t="str">
        <f>IF(C499="","",COUNT($C$10:C499))</f>
        <v/>
      </c>
      <c r="C499" s="20"/>
      <c r="D499" s="11"/>
      <c r="E499" s="9"/>
      <c r="F499" s="21" t="str">
        <f>IF(E499="","",IFERROR(INDEX(食材マスタ!$D$10:$D$309,MATCH(E499,食材マスタ!$C$10:$C$309,0)),"※コード未登録"))</f>
        <v/>
      </c>
      <c r="G499" s="16"/>
      <c r="H499" s="8" t="str">
        <f>IF(E499="","",IFERROR(INDEX(食材マスタ!$H$10:$H$309,MATCH(E499,食材マスタ!$C$10:$C$309,0)),""))</f>
        <v/>
      </c>
      <c r="I499" s="15" t="str">
        <f>IF(E499="","",IFERROR(INDEX(食材マスタ!$K$10:$K$309,MATCH(E499,食材マスタ!$C$10:$C$309,0)),""))</f>
        <v/>
      </c>
      <c r="J499" s="15" t="str">
        <f t="shared" si="35"/>
        <v/>
      </c>
      <c r="K499" s="20"/>
      <c r="L499" s="8" t="str">
        <f t="shared" si="36"/>
        <v/>
      </c>
      <c r="M499" s="9"/>
      <c r="N499" s="13" t="str">
        <f t="shared" si="37"/>
        <v/>
      </c>
      <c r="O499" s="22" t="str">
        <f t="shared" ca="1" si="38"/>
        <v/>
      </c>
      <c r="P499" s="17" t="str">
        <f t="shared" si="39"/>
        <v/>
      </c>
      <c r="Q499" s="11"/>
      <c r="R499" s="19"/>
      <c r="S499" s="19"/>
      <c r="U499">
        <f ca="1">IF(AND(ISNUMBER(O499),O499&lt;=設定!$C$4),1,0)</f>
        <v>0</v>
      </c>
      <c r="V499" t="str">
        <f ca="1">IF(U499=1,SUM($U$10:U499),"")</f>
        <v/>
      </c>
    </row>
    <row r="500" spans="2:22">
      <c r="B500" s="8" t="str">
        <f>IF(C500="","",COUNT($C$10:C500))</f>
        <v/>
      </c>
      <c r="C500" s="20"/>
      <c r="D500" s="11"/>
      <c r="E500" s="9"/>
      <c r="F500" s="21" t="str">
        <f>IF(E500="","",IFERROR(INDEX(食材マスタ!$D$10:$D$309,MATCH(E500,食材マスタ!$C$10:$C$309,0)),"※コード未登録"))</f>
        <v/>
      </c>
      <c r="G500" s="16"/>
      <c r="H500" s="8" t="str">
        <f>IF(E500="","",IFERROR(INDEX(食材マスタ!$H$10:$H$309,MATCH(E500,食材マスタ!$C$10:$C$309,0)),""))</f>
        <v/>
      </c>
      <c r="I500" s="15" t="str">
        <f>IF(E500="","",IFERROR(INDEX(食材マスタ!$K$10:$K$309,MATCH(E500,食材マスタ!$C$10:$C$309,0)),""))</f>
        <v/>
      </c>
      <c r="J500" s="15" t="str">
        <f t="shared" si="35"/>
        <v/>
      </c>
      <c r="K500" s="20"/>
      <c r="L500" s="8" t="str">
        <f t="shared" si="36"/>
        <v/>
      </c>
      <c r="M500" s="9"/>
      <c r="N500" s="13" t="str">
        <f t="shared" si="37"/>
        <v/>
      </c>
      <c r="O500" s="22" t="str">
        <f t="shared" ca="1" si="38"/>
        <v/>
      </c>
      <c r="P500" s="17" t="str">
        <f t="shared" si="39"/>
        <v/>
      </c>
      <c r="Q500" s="11"/>
      <c r="R500" s="19"/>
      <c r="S500" s="19"/>
      <c r="U500">
        <f ca="1">IF(AND(ISNUMBER(O500),O500&lt;=設定!$C$4),1,0)</f>
        <v>0</v>
      </c>
      <c r="V500" t="str">
        <f ca="1">IF(U500=1,SUM($U$10:U500),"")</f>
        <v/>
      </c>
    </row>
    <row r="501" spans="2:22">
      <c r="B501" s="8" t="str">
        <f>IF(C501="","",COUNT($C$10:C501))</f>
        <v/>
      </c>
      <c r="C501" s="20"/>
      <c r="D501" s="11"/>
      <c r="E501" s="9"/>
      <c r="F501" s="21" t="str">
        <f>IF(E501="","",IFERROR(INDEX(食材マスタ!$D$10:$D$309,MATCH(E501,食材マスタ!$C$10:$C$309,0)),"※コード未登録"))</f>
        <v/>
      </c>
      <c r="G501" s="16"/>
      <c r="H501" s="8" t="str">
        <f>IF(E501="","",IFERROR(INDEX(食材マスタ!$H$10:$H$309,MATCH(E501,食材マスタ!$C$10:$C$309,0)),""))</f>
        <v/>
      </c>
      <c r="I501" s="15" t="str">
        <f>IF(E501="","",IFERROR(INDEX(食材マスタ!$K$10:$K$309,MATCH(E501,食材マスタ!$C$10:$C$309,0)),""))</f>
        <v/>
      </c>
      <c r="J501" s="15" t="str">
        <f t="shared" si="35"/>
        <v/>
      </c>
      <c r="K501" s="20"/>
      <c r="L501" s="8" t="str">
        <f t="shared" si="36"/>
        <v/>
      </c>
      <c r="M501" s="9"/>
      <c r="N501" s="13" t="str">
        <f t="shared" si="37"/>
        <v/>
      </c>
      <c r="O501" s="22" t="str">
        <f t="shared" ca="1" si="38"/>
        <v/>
      </c>
      <c r="P501" s="17" t="str">
        <f t="shared" si="39"/>
        <v/>
      </c>
      <c r="Q501" s="11"/>
      <c r="R501" s="19"/>
      <c r="S501" s="19"/>
      <c r="U501">
        <f ca="1">IF(AND(ISNUMBER(O501),O501&lt;=設定!$C$4),1,0)</f>
        <v>0</v>
      </c>
      <c r="V501" t="str">
        <f ca="1">IF(U501=1,SUM($U$10:U501),"")</f>
        <v/>
      </c>
    </row>
    <row r="502" spans="2:22">
      <c r="B502" s="8" t="str">
        <f>IF(C502="","",COUNT($C$10:C502))</f>
        <v/>
      </c>
      <c r="C502" s="20"/>
      <c r="D502" s="11"/>
      <c r="E502" s="9"/>
      <c r="F502" s="21" t="str">
        <f>IF(E502="","",IFERROR(INDEX(食材マスタ!$D$10:$D$309,MATCH(E502,食材マスタ!$C$10:$C$309,0)),"※コード未登録"))</f>
        <v/>
      </c>
      <c r="G502" s="16"/>
      <c r="H502" s="8" t="str">
        <f>IF(E502="","",IFERROR(INDEX(食材マスタ!$H$10:$H$309,MATCH(E502,食材マスタ!$C$10:$C$309,0)),""))</f>
        <v/>
      </c>
      <c r="I502" s="15" t="str">
        <f>IF(E502="","",IFERROR(INDEX(食材マスタ!$K$10:$K$309,MATCH(E502,食材マスタ!$C$10:$C$309,0)),""))</f>
        <v/>
      </c>
      <c r="J502" s="15" t="str">
        <f t="shared" si="35"/>
        <v/>
      </c>
      <c r="K502" s="20"/>
      <c r="L502" s="8" t="str">
        <f t="shared" si="36"/>
        <v/>
      </c>
      <c r="M502" s="9"/>
      <c r="N502" s="13" t="str">
        <f t="shared" si="37"/>
        <v/>
      </c>
      <c r="O502" s="22" t="str">
        <f t="shared" ca="1" si="38"/>
        <v/>
      </c>
      <c r="P502" s="17" t="str">
        <f t="shared" si="39"/>
        <v/>
      </c>
      <c r="Q502" s="11"/>
      <c r="R502" s="19"/>
      <c r="S502" s="19"/>
      <c r="U502">
        <f ca="1">IF(AND(ISNUMBER(O502),O502&lt;=設定!$C$4),1,0)</f>
        <v>0</v>
      </c>
      <c r="V502" t="str">
        <f ca="1">IF(U502=1,SUM($U$10:U502),"")</f>
        <v/>
      </c>
    </row>
    <row r="503" spans="2:22">
      <c r="B503" s="8" t="str">
        <f>IF(C503="","",COUNT($C$10:C503))</f>
        <v/>
      </c>
      <c r="C503" s="20"/>
      <c r="D503" s="11"/>
      <c r="E503" s="9"/>
      <c r="F503" s="21" t="str">
        <f>IF(E503="","",IFERROR(INDEX(食材マスタ!$D$10:$D$309,MATCH(E503,食材マスタ!$C$10:$C$309,0)),"※コード未登録"))</f>
        <v/>
      </c>
      <c r="G503" s="16"/>
      <c r="H503" s="8" t="str">
        <f>IF(E503="","",IFERROR(INDEX(食材マスタ!$H$10:$H$309,MATCH(E503,食材マスタ!$C$10:$C$309,0)),""))</f>
        <v/>
      </c>
      <c r="I503" s="15" t="str">
        <f>IF(E503="","",IFERROR(INDEX(食材マスタ!$K$10:$K$309,MATCH(E503,食材マスタ!$C$10:$C$309,0)),""))</f>
        <v/>
      </c>
      <c r="J503" s="15" t="str">
        <f t="shared" si="35"/>
        <v/>
      </c>
      <c r="K503" s="20"/>
      <c r="L503" s="8" t="str">
        <f t="shared" si="36"/>
        <v/>
      </c>
      <c r="M503" s="9"/>
      <c r="N503" s="13" t="str">
        <f t="shared" si="37"/>
        <v/>
      </c>
      <c r="O503" s="22" t="str">
        <f t="shared" ca="1" si="38"/>
        <v/>
      </c>
      <c r="P503" s="17" t="str">
        <f t="shared" si="39"/>
        <v/>
      </c>
      <c r="Q503" s="11"/>
      <c r="R503" s="19"/>
      <c r="S503" s="19"/>
      <c r="U503">
        <f ca="1">IF(AND(ISNUMBER(O503),O503&lt;=設定!$C$4),1,0)</f>
        <v>0</v>
      </c>
      <c r="V503" t="str">
        <f ca="1">IF(U503=1,SUM($U$10:U503),"")</f>
        <v/>
      </c>
    </row>
    <row r="504" spans="2:22">
      <c r="B504" s="8" t="str">
        <f>IF(C504="","",COUNT($C$10:C504))</f>
        <v/>
      </c>
      <c r="C504" s="20"/>
      <c r="D504" s="11"/>
      <c r="E504" s="9"/>
      <c r="F504" s="21" t="str">
        <f>IF(E504="","",IFERROR(INDEX(食材マスタ!$D$10:$D$309,MATCH(E504,食材マスタ!$C$10:$C$309,0)),"※コード未登録"))</f>
        <v/>
      </c>
      <c r="G504" s="16"/>
      <c r="H504" s="8" t="str">
        <f>IF(E504="","",IFERROR(INDEX(食材マスタ!$H$10:$H$309,MATCH(E504,食材マスタ!$C$10:$C$309,0)),""))</f>
        <v/>
      </c>
      <c r="I504" s="15" t="str">
        <f>IF(E504="","",IFERROR(INDEX(食材マスタ!$K$10:$K$309,MATCH(E504,食材マスタ!$C$10:$C$309,0)),""))</f>
        <v/>
      </c>
      <c r="J504" s="15" t="str">
        <f t="shared" si="35"/>
        <v/>
      </c>
      <c r="K504" s="20"/>
      <c r="L504" s="8" t="str">
        <f t="shared" si="36"/>
        <v/>
      </c>
      <c r="M504" s="9"/>
      <c r="N504" s="13" t="str">
        <f t="shared" si="37"/>
        <v/>
      </c>
      <c r="O504" s="22" t="str">
        <f t="shared" ca="1" si="38"/>
        <v/>
      </c>
      <c r="P504" s="17" t="str">
        <f t="shared" si="39"/>
        <v/>
      </c>
      <c r="Q504" s="11"/>
      <c r="R504" s="19"/>
      <c r="S504" s="19"/>
      <c r="U504">
        <f ca="1">IF(AND(ISNUMBER(O504),O504&lt;=設定!$C$4),1,0)</f>
        <v>0</v>
      </c>
      <c r="V504" t="str">
        <f ca="1">IF(U504=1,SUM($U$10:U504),"")</f>
        <v/>
      </c>
    </row>
    <row r="505" spans="2:22">
      <c r="B505" s="8" t="str">
        <f>IF(C505="","",COUNT($C$10:C505))</f>
        <v/>
      </c>
      <c r="C505" s="20"/>
      <c r="D505" s="11"/>
      <c r="E505" s="9"/>
      <c r="F505" s="21" t="str">
        <f>IF(E505="","",IFERROR(INDEX(食材マスタ!$D$10:$D$309,MATCH(E505,食材マスタ!$C$10:$C$309,0)),"※コード未登録"))</f>
        <v/>
      </c>
      <c r="G505" s="16"/>
      <c r="H505" s="8" t="str">
        <f>IF(E505="","",IFERROR(INDEX(食材マスタ!$H$10:$H$309,MATCH(E505,食材マスタ!$C$10:$C$309,0)),""))</f>
        <v/>
      </c>
      <c r="I505" s="15" t="str">
        <f>IF(E505="","",IFERROR(INDEX(食材マスタ!$K$10:$K$309,MATCH(E505,食材マスタ!$C$10:$C$309,0)),""))</f>
        <v/>
      </c>
      <c r="J505" s="15" t="str">
        <f t="shared" si="35"/>
        <v/>
      </c>
      <c r="K505" s="20"/>
      <c r="L505" s="8" t="str">
        <f t="shared" si="36"/>
        <v/>
      </c>
      <c r="M505" s="9"/>
      <c r="N505" s="13" t="str">
        <f t="shared" si="37"/>
        <v/>
      </c>
      <c r="O505" s="22" t="str">
        <f t="shared" ca="1" si="38"/>
        <v/>
      </c>
      <c r="P505" s="17" t="str">
        <f t="shared" si="39"/>
        <v/>
      </c>
      <c r="Q505" s="11"/>
      <c r="R505" s="19"/>
      <c r="S505" s="19"/>
      <c r="U505">
        <f ca="1">IF(AND(ISNUMBER(O505),O505&lt;=設定!$C$4),1,0)</f>
        <v>0</v>
      </c>
      <c r="V505" t="str">
        <f ca="1">IF(U505=1,SUM($U$10:U505),"")</f>
        <v/>
      </c>
    </row>
    <row r="506" spans="2:22">
      <c r="B506" s="8" t="str">
        <f>IF(C506="","",COUNT($C$10:C506))</f>
        <v/>
      </c>
      <c r="C506" s="20"/>
      <c r="D506" s="11"/>
      <c r="E506" s="9"/>
      <c r="F506" s="21" t="str">
        <f>IF(E506="","",IFERROR(INDEX(食材マスタ!$D$10:$D$309,MATCH(E506,食材マスタ!$C$10:$C$309,0)),"※コード未登録"))</f>
        <v/>
      </c>
      <c r="G506" s="16"/>
      <c r="H506" s="8" t="str">
        <f>IF(E506="","",IFERROR(INDEX(食材マスタ!$H$10:$H$309,MATCH(E506,食材マスタ!$C$10:$C$309,0)),""))</f>
        <v/>
      </c>
      <c r="I506" s="15" t="str">
        <f>IF(E506="","",IFERROR(INDEX(食材マスタ!$K$10:$K$309,MATCH(E506,食材マスタ!$C$10:$C$309,0)),""))</f>
        <v/>
      </c>
      <c r="J506" s="15" t="str">
        <f t="shared" si="35"/>
        <v/>
      </c>
      <c r="K506" s="20"/>
      <c r="L506" s="8" t="str">
        <f t="shared" si="36"/>
        <v/>
      </c>
      <c r="M506" s="9"/>
      <c r="N506" s="13" t="str">
        <f t="shared" si="37"/>
        <v/>
      </c>
      <c r="O506" s="22" t="str">
        <f t="shared" ca="1" si="38"/>
        <v/>
      </c>
      <c r="P506" s="17" t="str">
        <f t="shared" si="39"/>
        <v/>
      </c>
      <c r="Q506" s="11"/>
      <c r="R506" s="19"/>
      <c r="S506" s="19"/>
      <c r="U506">
        <f ca="1">IF(AND(ISNUMBER(O506),O506&lt;=設定!$C$4),1,0)</f>
        <v>0</v>
      </c>
      <c r="V506" t="str">
        <f ca="1">IF(U506=1,SUM($U$10:U506),"")</f>
        <v/>
      </c>
    </row>
    <row r="507" spans="2:22">
      <c r="B507" s="8" t="str">
        <f>IF(C507="","",COUNT($C$10:C507))</f>
        <v/>
      </c>
      <c r="C507" s="20"/>
      <c r="D507" s="11"/>
      <c r="E507" s="9"/>
      <c r="F507" s="21" t="str">
        <f>IF(E507="","",IFERROR(INDEX(食材マスタ!$D$10:$D$309,MATCH(E507,食材マスタ!$C$10:$C$309,0)),"※コード未登録"))</f>
        <v/>
      </c>
      <c r="G507" s="16"/>
      <c r="H507" s="8" t="str">
        <f>IF(E507="","",IFERROR(INDEX(食材マスタ!$H$10:$H$309,MATCH(E507,食材マスタ!$C$10:$C$309,0)),""))</f>
        <v/>
      </c>
      <c r="I507" s="15" t="str">
        <f>IF(E507="","",IFERROR(INDEX(食材マスタ!$K$10:$K$309,MATCH(E507,食材マスタ!$C$10:$C$309,0)),""))</f>
        <v/>
      </c>
      <c r="J507" s="15" t="str">
        <f t="shared" si="35"/>
        <v/>
      </c>
      <c r="K507" s="20"/>
      <c r="L507" s="8" t="str">
        <f t="shared" si="36"/>
        <v/>
      </c>
      <c r="M507" s="9"/>
      <c r="N507" s="13" t="str">
        <f t="shared" si="37"/>
        <v/>
      </c>
      <c r="O507" s="22" t="str">
        <f t="shared" ca="1" si="38"/>
        <v/>
      </c>
      <c r="P507" s="17" t="str">
        <f t="shared" si="39"/>
        <v/>
      </c>
      <c r="Q507" s="11"/>
      <c r="R507" s="19"/>
      <c r="S507" s="19"/>
      <c r="U507">
        <f ca="1">IF(AND(ISNUMBER(O507),O507&lt;=設定!$C$4),1,0)</f>
        <v>0</v>
      </c>
      <c r="V507" t="str">
        <f ca="1">IF(U507=1,SUM($U$10:U507),"")</f>
        <v/>
      </c>
    </row>
    <row r="508" spans="2:22">
      <c r="B508" s="8" t="str">
        <f>IF(C508="","",COUNT($C$10:C508))</f>
        <v/>
      </c>
      <c r="C508" s="20"/>
      <c r="D508" s="11"/>
      <c r="E508" s="9"/>
      <c r="F508" s="21" t="str">
        <f>IF(E508="","",IFERROR(INDEX(食材マスタ!$D$10:$D$309,MATCH(E508,食材マスタ!$C$10:$C$309,0)),"※コード未登録"))</f>
        <v/>
      </c>
      <c r="G508" s="16"/>
      <c r="H508" s="8" t="str">
        <f>IF(E508="","",IFERROR(INDEX(食材マスタ!$H$10:$H$309,MATCH(E508,食材マスタ!$C$10:$C$309,0)),""))</f>
        <v/>
      </c>
      <c r="I508" s="15" t="str">
        <f>IF(E508="","",IFERROR(INDEX(食材マスタ!$K$10:$K$309,MATCH(E508,食材マスタ!$C$10:$C$309,0)),""))</f>
        <v/>
      </c>
      <c r="J508" s="15" t="str">
        <f t="shared" si="35"/>
        <v/>
      </c>
      <c r="K508" s="20"/>
      <c r="L508" s="8" t="str">
        <f t="shared" si="36"/>
        <v/>
      </c>
      <c r="M508" s="9"/>
      <c r="N508" s="13" t="str">
        <f t="shared" si="37"/>
        <v/>
      </c>
      <c r="O508" s="22" t="str">
        <f t="shared" ca="1" si="38"/>
        <v/>
      </c>
      <c r="P508" s="17" t="str">
        <f t="shared" si="39"/>
        <v/>
      </c>
      <c r="Q508" s="11"/>
      <c r="R508" s="19"/>
      <c r="S508" s="19"/>
      <c r="U508">
        <f ca="1">IF(AND(ISNUMBER(O508),O508&lt;=設定!$C$4),1,0)</f>
        <v>0</v>
      </c>
      <c r="V508" t="str">
        <f ca="1">IF(U508=1,SUM($U$10:U508),"")</f>
        <v/>
      </c>
    </row>
    <row r="509" spans="2:22">
      <c r="B509" s="8" t="str">
        <f>IF(C509="","",COUNT($C$10:C509))</f>
        <v/>
      </c>
      <c r="C509" s="20"/>
      <c r="D509" s="11"/>
      <c r="E509" s="9"/>
      <c r="F509" s="21" t="str">
        <f>IF(E509="","",IFERROR(INDEX(食材マスタ!$D$10:$D$309,MATCH(E509,食材マスタ!$C$10:$C$309,0)),"※コード未登録"))</f>
        <v/>
      </c>
      <c r="G509" s="16"/>
      <c r="H509" s="8" t="str">
        <f>IF(E509="","",IFERROR(INDEX(食材マスタ!$H$10:$H$309,MATCH(E509,食材マスタ!$C$10:$C$309,0)),""))</f>
        <v/>
      </c>
      <c r="I509" s="15" t="str">
        <f>IF(E509="","",IFERROR(INDEX(食材マスタ!$K$10:$K$309,MATCH(E509,食材マスタ!$C$10:$C$309,0)),""))</f>
        <v/>
      </c>
      <c r="J509" s="15" t="str">
        <f t="shared" si="35"/>
        <v/>
      </c>
      <c r="K509" s="20"/>
      <c r="L509" s="8" t="str">
        <f t="shared" si="36"/>
        <v/>
      </c>
      <c r="M509" s="9"/>
      <c r="N509" s="13" t="str">
        <f t="shared" si="37"/>
        <v/>
      </c>
      <c r="O509" s="22" t="str">
        <f t="shared" ca="1" si="38"/>
        <v/>
      </c>
      <c r="P509" s="17" t="str">
        <f t="shared" si="39"/>
        <v/>
      </c>
      <c r="Q509" s="11"/>
      <c r="R509" s="19"/>
      <c r="S509" s="19"/>
      <c r="U509">
        <f ca="1">IF(AND(ISNUMBER(O509),O509&lt;=設定!$C$4),1,0)</f>
        <v>0</v>
      </c>
      <c r="V509" t="str">
        <f ca="1">IF(U509=1,SUM($U$10:U509),"")</f>
        <v/>
      </c>
    </row>
    <row r="510" spans="2:22">
      <c r="B510" s="8" t="str">
        <f>IF(C510="","",COUNT($C$10:C510))</f>
        <v/>
      </c>
      <c r="C510" s="20"/>
      <c r="D510" s="11"/>
      <c r="E510" s="9"/>
      <c r="F510" s="21" t="str">
        <f>IF(E510="","",IFERROR(INDEX(食材マスタ!$D$10:$D$309,MATCH(E510,食材マスタ!$C$10:$C$309,0)),"※コード未登録"))</f>
        <v/>
      </c>
      <c r="G510" s="16"/>
      <c r="H510" s="8" t="str">
        <f>IF(E510="","",IFERROR(INDEX(食材マスタ!$H$10:$H$309,MATCH(E510,食材マスタ!$C$10:$C$309,0)),""))</f>
        <v/>
      </c>
      <c r="I510" s="15" t="str">
        <f>IF(E510="","",IFERROR(INDEX(食材マスタ!$K$10:$K$309,MATCH(E510,食材マスタ!$C$10:$C$309,0)),""))</f>
        <v/>
      </c>
      <c r="J510" s="15" t="str">
        <f t="shared" si="35"/>
        <v/>
      </c>
      <c r="K510" s="20"/>
      <c r="L510" s="8" t="str">
        <f t="shared" si="36"/>
        <v/>
      </c>
      <c r="M510" s="9"/>
      <c r="N510" s="13" t="str">
        <f t="shared" si="37"/>
        <v/>
      </c>
      <c r="O510" s="22" t="str">
        <f t="shared" ca="1" si="38"/>
        <v/>
      </c>
      <c r="P510" s="17" t="str">
        <f t="shared" si="39"/>
        <v/>
      </c>
      <c r="Q510" s="11"/>
      <c r="R510" s="19"/>
      <c r="S510" s="19"/>
      <c r="U510">
        <f ca="1">IF(AND(ISNUMBER(O510),O510&lt;=設定!$C$4),1,0)</f>
        <v>0</v>
      </c>
      <c r="V510" t="str">
        <f ca="1">IF(U510=1,SUM($U$10:U510),"")</f>
        <v/>
      </c>
    </row>
    <row r="511" spans="2:22">
      <c r="B511" s="8" t="str">
        <f>IF(C511="","",COUNT($C$10:C511))</f>
        <v/>
      </c>
      <c r="C511" s="20"/>
      <c r="D511" s="11"/>
      <c r="E511" s="9"/>
      <c r="F511" s="21" t="str">
        <f>IF(E511="","",IFERROR(INDEX(食材マスタ!$D$10:$D$309,MATCH(E511,食材マスタ!$C$10:$C$309,0)),"※コード未登録"))</f>
        <v/>
      </c>
      <c r="G511" s="16"/>
      <c r="H511" s="8" t="str">
        <f>IF(E511="","",IFERROR(INDEX(食材マスタ!$H$10:$H$309,MATCH(E511,食材マスタ!$C$10:$C$309,0)),""))</f>
        <v/>
      </c>
      <c r="I511" s="15" t="str">
        <f>IF(E511="","",IFERROR(INDEX(食材マスタ!$K$10:$K$309,MATCH(E511,食材マスタ!$C$10:$C$309,0)),""))</f>
        <v/>
      </c>
      <c r="J511" s="15" t="str">
        <f t="shared" si="35"/>
        <v/>
      </c>
      <c r="K511" s="20"/>
      <c r="L511" s="8" t="str">
        <f t="shared" si="36"/>
        <v/>
      </c>
      <c r="M511" s="9"/>
      <c r="N511" s="13" t="str">
        <f t="shared" si="37"/>
        <v/>
      </c>
      <c r="O511" s="22" t="str">
        <f t="shared" ca="1" si="38"/>
        <v/>
      </c>
      <c r="P511" s="17" t="str">
        <f t="shared" si="39"/>
        <v/>
      </c>
      <c r="Q511" s="11"/>
      <c r="R511" s="19"/>
      <c r="S511" s="19"/>
      <c r="U511">
        <f ca="1">IF(AND(ISNUMBER(O511),O511&lt;=設定!$C$4),1,0)</f>
        <v>0</v>
      </c>
      <c r="V511" t="str">
        <f ca="1">IF(U511=1,SUM($U$10:U511),"")</f>
        <v/>
      </c>
    </row>
    <row r="512" spans="2:22">
      <c r="B512" s="8" t="str">
        <f>IF(C512="","",COUNT($C$10:C512))</f>
        <v/>
      </c>
      <c r="C512" s="20"/>
      <c r="D512" s="11"/>
      <c r="E512" s="9"/>
      <c r="F512" s="21" t="str">
        <f>IF(E512="","",IFERROR(INDEX(食材マスタ!$D$10:$D$309,MATCH(E512,食材マスタ!$C$10:$C$309,0)),"※コード未登録"))</f>
        <v/>
      </c>
      <c r="G512" s="16"/>
      <c r="H512" s="8" t="str">
        <f>IF(E512="","",IFERROR(INDEX(食材マスタ!$H$10:$H$309,MATCH(E512,食材マスタ!$C$10:$C$309,0)),""))</f>
        <v/>
      </c>
      <c r="I512" s="15" t="str">
        <f>IF(E512="","",IFERROR(INDEX(食材マスタ!$K$10:$K$309,MATCH(E512,食材マスタ!$C$10:$C$309,0)),""))</f>
        <v/>
      </c>
      <c r="J512" s="15" t="str">
        <f t="shared" si="35"/>
        <v/>
      </c>
      <c r="K512" s="20"/>
      <c r="L512" s="8" t="str">
        <f t="shared" si="36"/>
        <v/>
      </c>
      <c r="M512" s="9"/>
      <c r="N512" s="13" t="str">
        <f t="shared" si="37"/>
        <v/>
      </c>
      <c r="O512" s="22" t="str">
        <f t="shared" ca="1" si="38"/>
        <v/>
      </c>
      <c r="P512" s="17" t="str">
        <f t="shared" si="39"/>
        <v/>
      </c>
      <c r="Q512" s="11"/>
      <c r="R512" s="19"/>
      <c r="S512" s="19"/>
      <c r="U512">
        <f ca="1">IF(AND(ISNUMBER(O512),O512&lt;=設定!$C$4),1,0)</f>
        <v>0</v>
      </c>
      <c r="V512" t="str">
        <f ca="1">IF(U512=1,SUM($U$10:U512),"")</f>
        <v/>
      </c>
    </row>
    <row r="513" spans="2:22">
      <c r="B513" s="8" t="str">
        <f>IF(C513="","",COUNT($C$10:C513))</f>
        <v/>
      </c>
      <c r="C513" s="20"/>
      <c r="D513" s="11"/>
      <c r="E513" s="9"/>
      <c r="F513" s="21" t="str">
        <f>IF(E513="","",IFERROR(INDEX(食材マスタ!$D$10:$D$309,MATCH(E513,食材マスタ!$C$10:$C$309,0)),"※コード未登録"))</f>
        <v/>
      </c>
      <c r="G513" s="16"/>
      <c r="H513" s="8" t="str">
        <f>IF(E513="","",IFERROR(INDEX(食材マスタ!$H$10:$H$309,MATCH(E513,食材マスタ!$C$10:$C$309,0)),""))</f>
        <v/>
      </c>
      <c r="I513" s="15" t="str">
        <f>IF(E513="","",IFERROR(INDEX(食材マスタ!$K$10:$K$309,MATCH(E513,食材マスタ!$C$10:$C$309,0)),""))</f>
        <v/>
      </c>
      <c r="J513" s="15" t="str">
        <f t="shared" si="35"/>
        <v/>
      </c>
      <c r="K513" s="20"/>
      <c r="L513" s="8" t="str">
        <f t="shared" si="36"/>
        <v/>
      </c>
      <c r="M513" s="9"/>
      <c r="N513" s="13" t="str">
        <f t="shared" si="37"/>
        <v/>
      </c>
      <c r="O513" s="22" t="str">
        <f t="shared" ca="1" si="38"/>
        <v/>
      </c>
      <c r="P513" s="17" t="str">
        <f t="shared" si="39"/>
        <v/>
      </c>
      <c r="Q513" s="11"/>
      <c r="R513" s="19"/>
      <c r="S513" s="19"/>
      <c r="U513">
        <f ca="1">IF(AND(ISNUMBER(O513),O513&lt;=設定!$C$4),1,0)</f>
        <v>0</v>
      </c>
      <c r="V513" t="str">
        <f ca="1">IF(U513=1,SUM($U$10:U513),"")</f>
        <v/>
      </c>
    </row>
    <row r="514" spans="2:22">
      <c r="B514" s="8" t="str">
        <f>IF(C514="","",COUNT($C$10:C514))</f>
        <v/>
      </c>
      <c r="C514" s="20"/>
      <c r="D514" s="11"/>
      <c r="E514" s="9"/>
      <c r="F514" s="21" t="str">
        <f>IF(E514="","",IFERROR(INDEX(食材マスタ!$D$10:$D$309,MATCH(E514,食材マスタ!$C$10:$C$309,0)),"※コード未登録"))</f>
        <v/>
      </c>
      <c r="G514" s="16"/>
      <c r="H514" s="8" t="str">
        <f>IF(E514="","",IFERROR(INDEX(食材マスタ!$H$10:$H$309,MATCH(E514,食材マスタ!$C$10:$C$309,0)),""))</f>
        <v/>
      </c>
      <c r="I514" s="15" t="str">
        <f>IF(E514="","",IFERROR(INDEX(食材マスタ!$K$10:$K$309,MATCH(E514,食材マスタ!$C$10:$C$309,0)),""))</f>
        <v/>
      </c>
      <c r="J514" s="15" t="str">
        <f t="shared" si="35"/>
        <v/>
      </c>
      <c r="K514" s="20"/>
      <c r="L514" s="8" t="str">
        <f t="shared" si="36"/>
        <v/>
      </c>
      <c r="M514" s="9"/>
      <c r="N514" s="13" t="str">
        <f t="shared" si="37"/>
        <v/>
      </c>
      <c r="O514" s="22" t="str">
        <f t="shared" ca="1" si="38"/>
        <v/>
      </c>
      <c r="P514" s="17" t="str">
        <f t="shared" si="39"/>
        <v/>
      </c>
      <c r="Q514" s="11"/>
      <c r="R514" s="19"/>
      <c r="S514" s="19"/>
      <c r="U514">
        <f ca="1">IF(AND(ISNUMBER(O514),O514&lt;=設定!$C$4),1,0)</f>
        <v>0</v>
      </c>
      <c r="V514" t="str">
        <f ca="1">IF(U514=1,SUM($U$10:U514),"")</f>
        <v/>
      </c>
    </row>
    <row r="515" spans="2:22">
      <c r="B515" s="8" t="str">
        <f>IF(C515="","",COUNT($C$10:C515))</f>
        <v/>
      </c>
      <c r="C515" s="20"/>
      <c r="D515" s="11"/>
      <c r="E515" s="9"/>
      <c r="F515" s="21" t="str">
        <f>IF(E515="","",IFERROR(INDEX(食材マスタ!$D$10:$D$309,MATCH(E515,食材マスタ!$C$10:$C$309,0)),"※コード未登録"))</f>
        <v/>
      </c>
      <c r="G515" s="16"/>
      <c r="H515" s="8" t="str">
        <f>IF(E515="","",IFERROR(INDEX(食材マスタ!$H$10:$H$309,MATCH(E515,食材マスタ!$C$10:$C$309,0)),""))</f>
        <v/>
      </c>
      <c r="I515" s="15" t="str">
        <f>IF(E515="","",IFERROR(INDEX(食材マスタ!$K$10:$K$309,MATCH(E515,食材マスタ!$C$10:$C$309,0)),""))</f>
        <v/>
      </c>
      <c r="J515" s="15" t="str">
        <f t="shared" si="35"/>
        <v/>
      </c>
      <c r="K515" s="20"/>
      <c r="L515" s="8" t="str">
        <f t="shared" si="36"/>
        <v/>
      </c>
      <c r="M515" s="9"/>
      <c r="N515" s="13" t="str">
        <f t="shared" si="37"/>
        <v/>
      </c>
      <c r="O515" s="22" t="str">
        <f t="shared" ca="1" si="38"/>
        <v/>
      </c>
      <c r="P515" s="17" t="str">
        <f t="shared" si="39"/>
        <v/>
      </c>
      <c r="Q515" s="11"/>
      <c r="R515" s="19"/>
      <c r="S515" s="19"/>
      <c r="U515">
        <f ca="1">IF(AND(ISNUMBER(O515),O515&lt;=設定!$C$4),1,0)</f>
        <v>0</v>
      </c>
      <c r="V515" t="str">
        <f ca="1">IF(U515=1,SUM($U$10:U515),"")</f>
        <v/>
      </c>
    </row>
    <row r="516" spans="2:22">
      <c r="B516" s="8" t="str">
        <f>IF(C516="","",COUNT($C$10:C516))</f>
        <v/>
      </c>
      <c r="C516" s="20"/>
      <c r="D516" s="11"/>
      <c r="E516" s="9"/>
      <c r="F516" s="21" t="str">
        <f>IF(E516="","",IFERROR(INDEX(食材マスタ!$D$10:$D$309,MATCH(E516,食材マスタ!$C$10:$C$309,0)),"※コード未登録"))</f>
        <v/>
      </c>
      <c r="G516" s="16"/>
      <c r="H516" s="8" t="str">
        <f>IF(E516="","",IFERROR(INDEX(食材マスタ!$H$10:$H$309,MATCH(E516,食材マスタ!$C$10:$C$309,0)),""))</f>
        <v/>
      </c>
      <c r="I516" s="15" t="str">
        <f>IF(E516="","",IFERROR(INDEX(食材マスタ!$K$10:$K$309,MATCH(E516,食材マスタ!$C$10:$C$309,0)),""))</f>
        <v/>
      </c>
      <c r="J516" s="15" t="str">
        <f t="shared" si="35"/>
        <v/>
      </c>
      <c r="K516" s="20"/>
      <c r="L516" s="8" t="str">
        <f t="shared" si="36"/>
        <v/>
      </c>
      <c r="M516" s="9"/>
      <c r="N516" s="13" t="str">
        <f t="shared" si="37"/>
        <v/>
      </c>
      <c r="O516" s="22" t="str">
        <f t="shared" ca="1" si="38"/>
        <v/>
      </c>
      <c r="P516" s="17" t="str">
        <f t="shared" si="39"/>
        <v/>
      </c>
      <c r="Q516" s="11"/>
      <c r="R516" s="19"/>
      <c r="S516" s="19"/>
      <c r="U516">
        <f ca="1">IF(AND(ISNUMBER(O516),O516&lt;=設定!$C$4),1,0)</f>
        <v>0</v>
      </c>
      <c r="V516" t="str">
        <f ca="1">IF(U516=1,SUM($U$10:U516),"")</f>
        <v/>
      </c>
    </row>
    <row r="517" spans="2:22">
      <c r="B517" s="8" t="str">
        <f>IF(C517="","",COUNT($C$10:C517))</f>
        <v/>
      </c>
      <c r="C517" s="20"/>
      <c r="D517" s="11"/>
      <c r="E517" s="9"/>
      <c r="F517" s="21" t="str">
        <f>IF(E517="","",IFERROR(INDEX(食材マスタ!$D$10:$D$309,MATCH(E517,食材マスタ!$C$10:$C$309,0)),"※コード未登録"))</f>
        <v/>
      </c>
      <c r="G517" s="16"/>
      <c r="H517" s="8" t="str">
        <f>IF(E517="","",IFERROR(INDEX(食材マスタ!$H$10:$H$309,MATCH(E517,食材マスタ!$C$10:$C$309,0)),""))</f>
        <v/>
      </c>
      <c r="I517" s="15" t="str">
        <f>IF(E517="","",IFERROR(INDEX(食材マスタ!$K$10:$K$309,MATCH(E517,食材マスタ!$C$10:$C$309,0)),""))</f>
        <v/>
      </c>
      <c r="J517" s="15" t="str">
        <f t="shared" si="35"/>
        <v/>
      </c>
      <c r="K517" s="20"/>
      <c r="L517" s="8" t="str">
        <f t="shared" si="36"/>
        <v/>
      </c>
      <c r="M517" s="9"/>
      <c r="N517" s="13" t="str">
        <f t="shared" si="37"/>
        <v/>
      </c>
      <c r="O517" s="22" t="str">
        <f t="shared" ca="1" si="38"/>
        <v/>
      </c>
      <c r="P517" s="17" t="str">
        <f t="shared" si="39"/>
        <v/>
      </c>
      <c r="Q517" s="11"/>
      <c r="R517" s="19"/>
      <c r="S517" s="19"/>
      <c r="U517">
        <f ca="1">IF(AND(ISNUMBER(O517),O517&lt;=設定!$C$4),1,0)</f>
        <v>0</v>
      </c>
      <c r="V517" t="str">
        <f ca="1">IF(U517=1,SUM($U$10:U517),"")</f>
        <v/>
      </c>
    </row>
    <row r="518" spans="2:22">
      <c r="B518" s="8" t="str">
        <f>IF(C518="","",COUNT($C$10:C518))</f>
        <v/>
      </c>
      <c r="C518" s="20"/>
      <c r="D518" s="11"/>
      <c r="E518" s="9"/>
      <c r="F518" s="21" t="str">
        <f>IF(E518="","",IFERROR(INDEX(食材マスタ!$D$10:$D$309,MATCH(E518,食材マスタ!$C$10:$C$309,0)),"※コード未登録"))</f>
        <v/>
      </c>
      <c r="G518" s="16"/>
      <c r="H518" s="8" t="str">
        <f>IF(E518="","",IFERROR(INDEX(食材マスタ!$H$10:$H$309,MATCH(E518,食材マスタ!$C$10:$C$309,0)),""))</f>
        <v/>
      </c>
      <c r="I518" s="15" t="str">
        <f>IF(E518="","",IFERROR(INDEX(食材マスタ!$K$10:$K$309,MATCH(E518,食材マスタ!$C$10:$C$309,0)),""))</f>
        <v/>
      </c>
      <c r="J518" s="15" t="str">
        <f t="shared" si="35"/>
        <v/>
      </c>
      <c r="K518" s="20"/>
      <c r="L518" s="8" t="str">
        <f t="shared" si="36"/>
        <v/>
      </c>
      <c r="M518" s="9"/>
      <c r="N518" s="13" t="str">
        <f t="shared" si="37"/>
        <v/>
      </c>
      <c r="O518" s="22" t="str">
        <f t="shared" ca="1" si="38"/>
        <v/>
      </c>
      <c r="P518" s="17" t="str">
        <f t="shared" si="39"/>
        <v/>
      </c>
      <c r="Q518" s="11"/>
      <c r="R518" s="19"/>
      <c r="S518" s="19"/>
      <c r="U518">
        <f ca="1">IF(AND(ISNUMBER(O518),O518&lt;=設定!$C$4),1,0)</f>
        <v>0</v>
      </c>
      <c r="V518" t="str">
        <f ca="1">IF(U518=1,SUM($U$10:U518),"")</f>
        <v/>
      </c>
    </row>
    <row r="519" spans="2:22">
      <c r="B519" s="8" t="str">
        <f>IF(C519="","",COUNT($C$10:C519))</f>
        <v/>
      </c>
      <c r="C519" s="20"/>
      <c r="D519" s="11"/>
      <c r="E519" s="9"/>
      <c r="F519" s="21" t="str">
        <f>IF(E519="","",IFERROR(INDEX(食材マスタ!$D$10:$D$309,MATCH(E519,食材マスタ!$C$10:$C$309,0)),"※コード未登録"))</f>
        <v/>
      </c>
      <c r="G519" s="16"/>
      <c r="H519" s="8" t="str">
        <f>IF(E519="","",IFERROR(INDEX(食材マスタ!$H$10:$H$309,MATCH(E519,食材マスタ!$C$10:$C$309,0)),""))</f>
        <v/>
      </c>
      <c r="I519" s="15" t="str">
        <f>IF(E519="","",IFERROR(INDEX(食材マスタ!$K$10:$K$309,MATCH(E519,食材マスタ!$C$10:$C$309,0)),""))</f>
        <v/>
      </c>
      <c r="J519" s="15" t="str">
        <f t="shared" si="35"/>
        <v/>
      </c>
      <c r="K519" s="20"/>
      <c r="L519" s="8" t="str">
        <f t="shared" si="36"/>
        <v/>
      </c>
      <c r="M519" s="9"/>
      <c r="N519" s="13" t="str">
        <f t="shared" si="37"/>
        <v/>
      </c>
      <c r="O519" s="22" t="str">
        <f t="shared" ca="1" si="38"/>
        <v/>
      </c>
      <c r="P519" s="17" t="str">
        <f t="shared" si="39"/>
        <v/>
      </c>
      <c r="Q519" s="11"/>
      <c r="R519" s="19"/>
      <c r="S519" s="19"/>
      <c r="U519">
        <f ca="1">IF(AND(ISNUMBER(O519),O519&lt;=設定!$C$4),1,0)</f>
        <v>0</v>
      </c>
      <c r="V519" t="str">
        <f ca="1">IF(U519=1,SUM($U$10:U519),"")</f>
        <v/>
      </c>
    </row>
    <row r="520" spans="2:22">
      <c r="B520" s="8" t="str">
        <f>IF(C520="","",COUNT($C$10:C520))</f>
        <v/>
      </c>
      <c r="C520" s="20"/>
      <c r="D520" s="11"/>
      <c r="E520" s="9"/>
      <c r="F520" s="21" t="str">
        <f>IF(E520="","",IFERROR(INDEX(食材マスタ!$D$10:$D$309,MATCH(E520,食材マスタ!$C$10:$C$309,0)),"※コード未登録"))</f>
        <v/>
      </c>
      <c r="G520" s="16"/>
      <c r="H520" s="8" t="str">
        <f>IF(E520="","",IFERROR(INDEX(食材マスタ!$H$10:$H$309,MATCH(E520,食材マスタ!$C$10:$C$309,0)),""))</f>
        <v/>
      </c>
      <c r="I520" s="15" t="str">
        <f>IF(E520="","",IFERROR(INDEX(食材マスタ!$K$10:$K$309,MATCH(E520,食材マスタ!$C$10:$C$309,0)),""))</f>
        <v/>
      </c>
      <c r="J520" s="15" t="str">
        <f t="shared" si="35"/>
        <v/>
      </c>
      <c r="K520" s="20"/>
      <c r="L520" s="8" t="str">
        <f t="shared" si="36"/>
        <v/>
      </c>
      <c r="M520" s="9"/>
      <c r="N520" s="13" t="str">
        <f t="shared" si="37"/>
        <v/>
      </c>
      <c r="O520" s="22" t="str">
        <f t="shared" ca="1" si="38"/>
        <v/>
      </c>
      <c r="P520" s="17" t="str">
        <f t="shared" si="39"/>
        <v/>
      </c>
      <c r="Q520" s="11"/>
      <c r="R520" s="19"/>
      <c r="S520" s="19"/>
      <c r="U520">
        <f ca="1">IF(AND(ISNUMBER(O520),O520&lt;=設定!$C$4),1,0)</f>
        <v>0</v>
      </c>
      <c r="V520" t="str">
        <f ca="1">IF(U520=1,SUM($U$10:U520),"")</f>
        <v/>
      </c>
    </row>
    <row r="521" spans="2:22">
      <c r="B521" s="8" t="str">
        <f>IF(C521="","",COUNT($C$10:C521))</f>
        <v/>
      </c>
      <c r="C521" s="20"/>
      <c r="D521" s="11"/>
      <c r="E521" s="9"/>
      <c r="F521" s="21" t="str">
        <f>IF(E521="","",IFERROR(INDEX(食材マスタ!$D$10:$D$309,MATCH(E521,食材マスタ!$C$10:$C$309,0)),"※コード未登録"))</f>
        <v/>
      </c>
      <c r="G521" s="16"/>
      <c r="H521" s="8" t="str">
        <f>IF(E521="","",IFERROR(INDEX(食材マスタ!$H$10:$H$309,MATCH(E521,食材マスタ!$C$10:$C$309,0)),""))</f>
        <v/>
      </c>
      <c r="I521" s="15" t="str">
        <f>IF(E521="","",IFERROR(INDEX(食材マスタ!$K$10:$K$309,MATCH(E521,食材マスタ!$C$10:$C$309,0)),""))</f>
        <v/>
      </c>
      <c r="J521" s="15" t="str">
        <f t="shared" si="35"/>
        <v/>
      </c>
      <c r="K521" s="20"/>
      <c r="L521" s="8" t="str">
        <f t="shared" si="36"/>
        <v/>
      </c>
      <c r="M521" s="9"/>
      <c r="N521" s="13" t="str">
        <f t="shared" si="37"/>
        <v/>
      </c>
      <c r="O521" s="22" t="str">
        <f t="shared" ca="1" si="38"/>
        <v/>
      </c>
      <c r="P521" s="17" t="str">
        <f t="shared" si="39"/>
        <v/>
      </c>
      <c r="Q521" s="11"/>
      <c r="R521" s="19"/>
      <c r="S521" s="19"/>
      <c r="U521">
        <f ca="1">IF(AND(ISNUMBER(O521),O521&lt;=設定!$C$4),1,0)</f>
        <v>0</v>
      </c>
      <c r="V521" t="str">
        <f ca="1">IF(U521=1,SUM($U$10:U521),"")</f>
        <v/>
      </c>
    </row>
    <row r="522" spans="2:22">
      <c r="B522" s="8" t="str">
        <f>IF(C522="","",COUNT($C$10:C522))</f>
        <v/>
      </c>
      <c r="C522" s="20"/>
      <c r="D522" s="11"/>
      <c r="E522" s="9"/>
      <c r="F522" s="21" t="str">
        <f>IF(E522="","",IFERROR(INDEX(食材マスタ!$D$10:$D$309,MATCH(E522,食材マスタ!$C$10:$C$309,0)),"※コード未登録"))</f>
        <v/>
      </c>
      <c r="G522" s="16"/>
      <c r="H522" s="8" t="str">
        <f>IF(E522="","",IFERROR(INDEX(食材マスタ!$H$10:$H$309,MATCH(E522,食材マスタ!$C$10:$C$309,0)),""))</f>
        <v/>
      </c>
      <c r="I522" s="15" t="str">
        <f>IF(E522="","",IFERROR(INDEX(食材マスタ!$K$10:$K$309,MATCH(E522,食材マスタ!$C$10:$C$309,0)),""))</f>
        <v/>
      </c>
      <c r="J522" s="15" t="str">
        <f t="shared" ref="J522:J585" si="40">IF(OR(G522="",I522=""),"",ROUND(ABS(G522)*I522,0))</f>
        <v/>
      </c>
      <c r="K522" s="20"/>
      <c r="L522" s="8" t="str">
        <f t="shared" ref="L522:L585" si="41">IF(AND(D522="入庫",E522&lt;&gt;""),E522&amp;"-"&amp;TEXT(ROW()-9,"0000"),"")</f>
        <v/>
      </c>
      <c r="M522" s="9"/>
      <c r="N522" s="13" t="str">
        <f t="shared" ref="N522:N585" si="42">IF(L522="","",G522-SUMIFS($G$10:$G$1009,$M$10:$M$1009,L522,$D$10:$D$1009,"出庫")-SUMIFS($G$10:$G$1009,$M$10:$M$1009,L522,$D$10:$D$1009,"廃棄")+SUMIFS($G$10:$G$1009,$M$10:$M$1009,L522,$D$10:$D$1009,"棚卸調整"))</f>
        <v/>
      </c>
      <c r="O522" s="22" t="str">
        <f t="shared" ref="O522:O585" ca="1" si="43">IF(OR(L522="",K522=""),"",IF(N522&lt;=0,"",K522-TODAY()))</f>
        <v/>
      </c>
      <c r="P522" s="17" t="str">
        <f t="shared" ref="P522:P585" si="44">IF(E522="","",IF(F522="※コード未登録","コード未登録",IF(AND(OR(D522="出庫",D522="廃棄"),M522=""),"ロット未指定",IF(AND(M522&lt;&gt;"",LEFT(M522,LEN(E522)+1)&lt;&gt;E522&amp;"-"),"ロット違い",IF(AND(L522&lt;&gt;"",N522&lt;0),"ロット残マイナス","")))))</f>
        <v/>
      </c>
      <c r="Q522" s="11"/>
      <c r="R522" s="19"/>
      <c r="S522" s="19"/>
      <c r="U522">
        <f ca="1">IF(AND(ISNUMBER(O522),O522&lt;=設定!$C$4),1,0)</f>
        <v>0</v>
      </c>
      <c r="V522" t="str">
        <f ca="1">IF(U522=1,SUM($U$10:U522),"")</f>
        <v/>
      </c>
    </row>
    <row r="523" spans="2:22">
      <c r="B523" s="8" t="str">
        <f>IF(C523="","",COUNT($C$10:C523))</f>
        <v/>
      </c>
      <c r="C523" s="20"/>
      <c r="D523" s="11"/>
      <c r="E523" s="9"/>
      <c r="F523" s="21" t="str">
        <f>IF(E523="","",IFERROR(INDEX(食材マスタ!$D$10:$D$309,MATCH(E523,食材マスタ!$C$10:$C$309,0)),"※コード未登録"))</f>
        <v/>
      </c>
      <c r="G523" s="16"/>
      <c r="H523" s="8" t="str">
        <f>IF(E523="","",IFERROR(INDEX(食材マスタ!$H$10:$H$309,MATCH(E523,食材マスタ!$C$10:$C$309,0)),""))</f>
        <v/>
      </c>
      <c r="I523" s="15" t="str">
        <f>IF(E523="","",IFERROR(INDEX(食材マスタ!$K$10:$K$309,MATCH(E523,食材マスタ!$C$10:$C$309,0)),""))</f>
        <v/>
      </c>
      <c r="J523" s="15" t="str">
        <f t="shared" si="40"/>
        <v/>
      </c>
      <c r="K523" s="20"/>
      <c r="L523" s="8" t="str">
        <f t="shared" si="41"/>
        <v/>
      </c>
      <c r="M523" s="9"/>
      <c r="N523" s="13" t="str">
        <f t="shared" si="42"/>
        <v/>
      </c>
      <c r="O523" s="22" t="str">
        <f t="shared" ca="1" si="43"/>
        <v/>
      </c>
      <c r="P523" s="17" t="str">
        <f t="shared" si="44"/>
        <v/>
      </c>
      <c r="Q523" s="11"/>
      <c r="R523" s="19"/>
      <c r="S523" s="19"/>
      <c r="U523">
        <f ca="1">IF(AND(ISNUMBER(O523),O523&lt;=設定!$C$4),1,0)</f>
        <v>0</v>
      </c>
      <c r="V523" t="str">
        <f ca="1">IF(U523=1,SUM($U$10:U523),"")</f>
        <v/>
      </c>
    </row>
    <row r="524" spans="2:22">
      <c r="B524" s="8" t="str">
        <f>IF(C524="","",COUNT($C$10:C524))</f>
        <v/>
      </c>
      <c r="C524" s="20"/>
      <c r="D524" s="11"/>
      <c r="E524" s="9"/>
      <c r="F524" s="21" t="str">
        <f>IF(E524="","",IFERROR(INDEX(食材マスタ!$D$10:$D$309,MATCH(E524,食材マスタ!$C$10:$C$309,0)),"※コード未登録"))</f>
        <v/>
      </c>
      <c r="G524" s="16"/>
      <c r="H524" s="8" t="str">
        <f>IF(E524="","",IFERROR(INDEX(食材マスタ!$H$10:$H$309,MATCH(E524,食材マスタ!$C$10:$C$309,0)),""))</f>
        <v/>
      </c>
      <c r="I524" s="15" t="str">
        <f>IF(E524="","",IFERROR(INDEX(食材マスタ!$K$10:$K$309,MATCH(E524,食材マスタ!$C$10:$C$309,0)),""))</f>
        <v/>
      </c>
      <c r="J524" s="15" t="str">
        <f t="shared" si="40"/>
        <v/>
      </c>
      <c r="K524" s="20"/>
      <c r="L524" s="8" t="str">
        <f t="shared" si="41"/>
        <v/>
      </c>
      <c r="M524" s="9"/>
      <c r="N524" s="13" t="str">
        <f t="shared" si="42"/>
        <v/>
      </c>
      <c r="O524" s="22" t="str">
        <f t="shared" ca="1" si="43"/>
        <v/>
      </c>
      <c r="P524" s="17" t="str">
        <f t="shared" si="44"/>
        <v/>
      </c>
      <c r="Q524" s="11"/>
      <c r="R524" s="19"/>
      <c r="S524" s="19"/>
      <c r="U524">
        <f ca="1">IF(AND(ISNUMBER(O524),O524&lt;=設定!$C$4),1,0)</f>
        <v>0</v>
      </c>
      <c r="V524" t="str">
        <f ca="1">IF(U524=1,SUM($U$10:U524),"")</f>
        <v/>
      </c>
    </row>
    <row r="525" spans="2:22">
      <c r="B525" s="8" t="str">
        <f>IF(C525="","",COUNT($C$10:C525))</f>
        <v/>
      </c>
      <c r="C525" s="20"/>
      <c r="D525" s="11"/>
      <c r="E525" s="9"/>
      <c r="F525" s="21" t="str">
        <f>IF(E525="","",IFERROR(INDEX(食材マスタ!$D$10:$D$309,MATCH(E525,食材マスタ!$C$10:$C$309,0)),"※コード未登録"))</f>
        <v/>
      </c>
      <c r="G525" s="16"/>
      <c r="H525" s="8" t="str">
        <f>IF(E525="","",IFERROR(INDEX(食材マスタ!$H$10:$H$309,MATCH(E525,食材マスタ!$C$10:$C$309,0)),""))</f>
        <v/>
      </c>
      <c r="I525" s="15" t="str">
        <f>IF(E525="","",IFERROR(INDEX(食材マスタ!$K$10:$K$309,MATCH(E525,食材マスタ!$C$10:$C$309,0)),""))</f>
        <v/>
      </c>
      <c r="J525" s="15" t="str">
        <f t="shared" si="40"/>
        <v/>
      </c>
      <c r="K525" s="20"/>
      <c r="L525" s="8" t="str">
        <f t="shared" si="41"/>
        <v/>
      </c>
      <c r="M525" s="9"/>
      <c r="N525" s="13" t="str">
        <f t="shared" si="42"/>
        <v/>
      </c>
      <c r="O525" s="22" t="str">
        <f t="shared" ca="1" si="43"/>
        <v/>
      </c>
      <c r="P525" s="17" t="str">
        <f t="shared" si="44"/>
        <v/>
      </c>
      <c r="Q525" s="11"/>
      <c r="R525" s="19"/>
      <c r="S525" s="19"/>
      <c r="U525">
        <f ca="1">IF(AND(ISNUMBER(O525),O525&lt;=設定!$C$4),1,0)</f>
        <v>0</v>
      </c>
      <c r="V525" t="str">
        <f ca="1">IF(U525=1,SUM($U$10:U525),"")</f>
        <v/>
      </c>
    </row>
    <row r="526" spans="2:22">
      <c r="B526" s="8" t="str">
        <f>IF(C526="","",COUNT($C$10:C526))</f>
        <v/>
      </c>
      <c r="C526" s="20"/>
      <c r="D526" s="11"/>
      <c r="E526" s="9"/>
      <c r="F526" s="21" t="str">
        <f>IF(E526="","",IFERROR(INDEX(食材マスタ!$D$10:$D$309,MATCH(E526,食材マスタ!$C$10:$C$309,0)),"※コード未登録"))</f>
        <v/>
      </c>
      <c r="G526" s="16"/>
      <c r="H526" s="8" t="str">
        <f>IF(E526="","",IFERROR(INDEX(食材マスタ!$H$10:$H$309,MATCH(E526,食材マスタ!$C$10:$C$309,0)),""))</f>
        <v/>
      </c>
      <c r="I526" s="15" t="str">
        <f>IF(E526="","",IFERROR(INDEX(食材マスタ!$K$10:$K$309,MATCH(E526,食材マスタ!$C$10:$C$309,0)),""))</f>
        <v/>
      </c>
      <c r="J526" s="15" t="str">
        <f t="shared" si="40"/>
        <v/>
      </c>
      <c r="K526" s="20"/>
      <c r="L526" s="8" t="str">
        <f t="shared" si="41"/>
        <v/>
      </c>
      <c r="M526" s="9"/>
      <c r="N526" s="13" t="str">
        <f t="shared" si="42"/>
        <v/>
      </c>
      <c r="O526" s="22" t="str">
        <f t="shared" ca="1" si="43"/>
        <v/>
      </c>
      <c r="P526" s="17" t="str">
        <f t="shared" si="44"/>
        <v/>
      </c>
      <c r="Q526" s="11"/>
      <c r="R526" s="19"/>
      <c r="S526" s="19"/>
      <c r="U526">
        <f ca="1">IF(AND(ISNUMBER(O526),O526&lt;=設定!$C$4),1,0)</f>
        <v>0</v>
      </c>
      <c r="V526" t="str">
        <f ca="1">IF(U526=1,SUM($U$10:U526),"")</f>
        <v/>
      </c>
    </row>
    <row r="527" spans="2:22">
      <c r="B527" s="8" t="str">
        <f>IF(C527="","",COUNT($C$10:C527))</f>
        <v/>
      </c>
      <c r="C527" s="20"/>
      <c r="D527" s="11"/>
      <c r="E527" s="9"/>
      <c r="F527" s="21" t="str">
        <f>IF(E527="","",IFERROR(INDEX(食材マスタ!$D$10:$D$309,MATCH(E527,食材マスタ!$C$10:$C$309,0)),"※コード未登録"))</f>
        <v/>
      </c>
      <c r="G527" s="16"/>
      <c r="H527" s="8" t="str">
        <f>IF(E527="","",IFERROR(INDEX(食材マスタ!$H$10:$H$309,MATCH(E527,食材マスタ!$C$10:$C$309,0)),""))</f>
        <v/>
      </c>
      <c r="I527" s="15" t="str">
        <f>IF(E527="","",IFERROR(INDEX(食材マスタ!$K$10:$K$309,MATCH(E527,食材マスタ!$C$10:$C$309,0)),""))</f>
        <v/>
      </c>
      <c r="J527" s="15" t="str">
        <f t="shared" si="40"/>
        <v/>
      </c>
      <c r="K527" s="20"/>
      <c r="L527" s="8" t="str">
        <f t="shared" si="41"/>
        <v/>
      </c>
      <c r="M527" s="9"/>
      <c r="N527" s="13" t="str">
        <f t="shared" si="42"/>
        <v/>
      </c>
      <c r="O527" s="22" t="str">
        <f t="shared" ca="1" si="43"/>
        <v/>
      </c>
      <c r="P527" s="17" t="str">
        <f t="shared" si="44"/>
        <v/>
      </c>
      <c r="Q527" s="11"/>
      <c r="R527" s="19"/>
      <c r="S527" s="19"/>
      <c r="U527">
        <f ca="1">IF(AND(ISNUMBER(O527),O527&lt;=設定!$C$4),1,0)</f>
        <v>0</v>
      </c>
      <c r="V527" t="str">
        <f ca="1">IF(U527=1,SUM($U$10:U527),"")</f>
        <v/>
      </c>
    </row>
    <row r="528" spans="2:22">
      <c r="B528" s="8" t="str">
        <f>IF(C528="","",COUNT($C$10:C528))</f>
        <v/>
      </c>
      <c r="C528" s="20"/>
      <c r="D528" s="11"/>
      <c r="E528" s="9"/>
      <c r="F528" s="21" t="str">
        <f>IF(E528="","",IFERROR(INDEX(食材マスタ!$D$10:$D$309,MATCH(E528,食材マスタ!$C$10:$C$309,0)),"※コード未登録"))</f>
        <v/>
      </c>
      <c r="G528" s="16"/>
      <c r="H528" s="8" t="str">
        <f>IF(E528="","",IFERROR(INDEX(食材マスタ!$H$10:$H$309,MATCH(E528,食材マスタ!$C$10:$C$309,0)),""))</f>
        <v/>
      </c>
      <c r="I528" s="15" t="str">
        <f>IF(E528="","",IFERROR(INDEX(食材マスタ!$K$10:$K$309,MATCH(E528,食材マスタ!$C$10:$C$309,0)),""))</f>
        <v/>
      </c>
      <c r="J528" s="15" t="str">
        <f t="shared" si="40"/>
        <v/>
      </c>
      <c r="K528" s="20"/>
      <c r="L528" s="8" t="str">
        <f t="shared" si="41"/>
        <v/>
      </c>
      <c r="M528" s="9"/>
      <c r="N528" s="13" t="str">
        <f t="shared" si="42"/>
        <v/>
      </c>
      <c r="O528" s="22" t="str">
        <f t="shared" ca="1" si="43"/>
        <v/>
      </c>
      <c r="P528" s="17" t="str">
        <f t="shared" si="44"/>
        <v/>
      </c>
      <c r="Q528" s="11"/>
      <c r="R528" s="19"/>
      <c r="S528" s="19"/>
      <c r="U528">
        <f ca="1">IF(AND(ISNUMBER(O528),O528&lt;=設定!$C$4),1,0)</f>
        <v>0</v>
      </c>
      <c r="V528" t="str">
        <f ca="1">IF(U528=1,SUM($U$10:U528),"")</f>
        <v/>
      </c>
    </row>
    <row r="529" spans="2:22">
      <c r="B529" s="8" t="str">
        <f>IF(C529="","",COUNT($C$10:C529))</f>
        <v/>
      </c>
      <c r="C529" s="20"/>
      <c r="D529" s="11"/>
      <c r="E529" s="9"/>
      <c r="F529" s="21" t="str">
        <f>IF(E529="","",IFERROR(INDEX(食材マスタ!$D$10:$D$309,MATCH(E529,食材マスタ!$C$10:$C$309,0)),"※コード未登録"))</f>
        <v/>
      </c>
      <c r="G529" s="16"/>
      <c r="H529" s="8" t="str">
        <f>IF(E529="","",IFERROR(INDEX(食材マスタ!$H$10:$H$309,MATCH(E529,食材マスタ!$C$10:$C$309,0)),""))</f>
        <v/>
      </c>
      <c r="I529" s="15" t="str">
        <f>IF(E529="","",IFERROR(INDEX(食材マスタ!$K$10:$K$309,MATCH(E529,食材マスタ!$C$10:$C$309,0)),""))</f>
        <v/>
      </c>
      <c r="J529" s="15" t="str">
        <f t="shared" si="40"/>
        <v/>
      </c>
      <c r="K529" s="20"/>
      <c r="L529" s="8" t="str">
        <f t="shared" si="41"/>
        <v/>
      </c>
      <c r="M529" s="9"/>
      <c r="N529" s="13" t="str">
        <f t="shared" si="42"/>
        <v/>
      </c>
      <c r="O529" s="22" t="str">
        <f t="shared" ca="1" si="43"/>
        <v/>
      </c>
      <c r="P529" s="17" t="str">
        <f t="shared" si="44"/>
        <v/>
      </c>
      <c r="Q529" s="11"/>
      <c r="R529" s="19"/>
      <c r="S529" s="19"/>
      <c r="U529">
        <f ca="1">IF(AND(ISNUMBER(O529),O529&lt;=設定!$C$4),1,0)</f>
        <v>0</v>
      </c>
      <c r="V529" t="str">
        <f ca="1">IF(U529=1,SUM($U$10:U529),"")</f>
        <v/>
      </c>
    </row>
    <row r="530" spans="2:22">
      <c r="B530" s="8" t="str">
        <f>IF(C530="","",COUNT($C$10:C530))</f>
        <v/>
      </c>
      <c r="C530" s="20"/>
      <c r="D530" s="11"/>
      <c r="E530" s="9"/>
      <c r="F530" s="21" t="str">
        <f>IF(E530="","",IFERROR(INDEX(食材マスタ!$D$10:$D$309,MATCH(E530,食材マスタ!$C$10:$C$309,0)),"※コード未登録"))</f>
        <v/>
      </c>
      <c r="G530" s="16"/>
      <c r="H530" s="8" t="str">
        <f>IF(E530="","",IFERROR(INDEX(食材マスタ!$H$10:$H$309,MATCH(E530,食材マスタ!$C$10:$C$309,0)),""))</f>
        <v/>
      </c>
      <c r="I530" s="15" t="str">
        <f>IF(E530="","",IFERROR(INDEX(食材マスタ!$K$10:$K$309,MATCH(E530,食材マスタ!$C$10:$C$309,0)),""))</f>
        <v/>
      </c>
      <c r="J530" s="15" t="str">
        <f t="shared" si="40"/>
        <v/>
      </c>
      <c r="K530" s="20"/>
      <c r="L530" s="8" t="str">
        <f t="shared" si="41"/>
        <v/>
      </c>
      <c r="M530" s="9"/>
      <c r="N530" s="13" t="str">
        <f t="shared" si="42"/>
        <v/>
      </c>
      <c r="O530" s="22" t="str">
        <f t="shared" ca="1" si="43"/>
        <v/>
      </c>
      <c r="P530" s="17" t="str">
        <f t="shared" si="44"/>
        <v/>
      </c>
      <c r="Q530" s="11"/>
      <c r="R530" s="19"/>
      <c r="S530" s="19"/>
      <c r="U530">
        <f ca="1">IF(AND(ISNUMBER(O530),O530&lt;=設定!$C$4),1,0)</f>
        <v>0</v>
      </c>
      <c r="V530" t="str">
        <f ca="1">IF(U530=1,SUM($U$10:U530),"")</f>
        <v/>
      </c>
    </row>
    <row r="531" spans="2:22">
      <c r="B531" s="8" t="str">
        <f>IF(C531="","",COUNT($C$10:C531))</f>
        <v/>
      </c>
      <c r="C531" s="20"/>
      <c r="D531" s="11"/>
      <c r="E531" s="9"/>
      <c r="F531" s="21" t="str">
        <f>IF(E531="","",IFERROR(INDEX(食材マスタ!$D$10:$D$309,MATCH(E531,食材マスタ!$C$10:$C$309,0)),"※コード未登録"))</f>
        <v/>
      </c>
      <c r="G531" s="16"/>
      <c r="H531" s="8" t="str">
        <f>IF(E531="","",IFERROR(INDEX(食材マスタ!$H$10:$H$309,MATCH(E531,食材マスタ!$C$10:$C$309,0)),""))</f>
        <v/>
      </c>
      <c r="I531" s="15" t="str">
        <f>IF(E531="","",IFERROR(INDEX(食材マスタ!$K$10:$K$309,MATCH(E531,食材マスタ!$C$10:$C$309,0)),""))</f>
        <v/>
      </c>
      <c r="J531" s="15" t="str">
        <f t="shared" si="40"/>
        <v/>
      </c>
      <c r="K531" s="20"/>
      <c r="L531" s="8" t="str">
        <f t="shared" si="41"/>
        <v/>
      </c>
      <c r="M531" s="9"/>
      <c r="N531" s="13" t="str">
        <f t="shared" si="42"/>
        <v/>
      </c>
      <c r="O531" s="22" t="str">
        <f t="shared" ca="1" si="43"/>
        <v/>
      </c>
      <c r="P531" s="17" t="str">
        <f t="shared" si="44"/>
        <v/>
      </c>
      <c r="Q531" s="11"/>
      <c r="R531" s="19"/>
      <c r="S531" s="19"/>
      <c r="U531">
        <f ca="1">IF(AND(ISNUMBER(O531),O531&lt;=設定!$C$4),1,0)</f>
        <v>0</v>
      </c>
      <c r="V531" t="str">
        <f ca="1">IF(U531=1,SUM($U$10:U531),"")</f>
        <v/>
      </c>
    </row>
    <row r="532" spans="2:22">
      <c r="B532" s="8" t="str">
        <f>IF(C532="","",COUNT($C$10:C532))</f>
        <v/>
      </c>
      <c r="C532" s="20"/>
      <c r="D532" s="11"/>
      <c r="E532" s="9"/>
      <c r="F532" s="21" t="str">
        <f>IF(E532="","",IFERROR(INDEX(食材マスタ!$D$10:$D$309,MATCH(E532,食材マスタ!$C$10:$C$309,0)),"※コード未登録"))</f>
        <v/>
      </c>
      <c r="G532" s="16"/>
      <c r="H532" s="8" t="str">
        <f>IF(E532="","",IFERROR(INDEX(食材マスタ!$H$10:$H$309,MATCH(E532,食材マスタ!$C$10:$C$309,0)),""))</f>
        <v/>
      </c>
      <c r="I532" s="15" t="str">
        <f>IF(E532="","",IFERROR(INDEX(食材マスタ!$K$10:$K$309,MATCH(E532,食材マスタ!$C$10:$C$309,0)),""))</f>
        <v/>
      </c>
      <c r="J532" s="15" t="str">
        <f t="shared" si="40"/>
        <v/>
      </c>
      <c r="K532" s="20"/>
      <c r="L532" s="8" t="str">
        <f t="shared" si="41"/>
        <v/>
      </c>
      <c r="M532" s="9"/>
      <c r="N532" s="13" t="str">
        <f t="shared" si="42"/>
        <v/>
      </c>
      <c r="O532" s="22" t="str">
        <f t="shared" ca="1" si="43"/>
        <v/>
      </c>
      <c r="P532" s="17" t="str">
        <f t="shared" si="44"/>
        <v/>
      </c>
      <c r="Q532" s="11"/>
      <c r="R532" s="19"/>
      <c r="S532" s="19"/>
      <c r="U532">
        <f ca="1">IF(AND(ISNUMBER(O532),O532&lt;=設定!$C$4),1,0)</f>
        <v>0</v>
      </c>
      <c r="V532" t="str">
        <f ca="1">IF(U532=1,SUM($U$10:U532),"")</f>
        <v/>
      </c>
    </row>
    <row r="533" spans="2:22">
      <c r="B533" s="8" t="str">
        <f>IF(C533="","",COUNT($C$10:C533))</f>
        <v/>
      </c>
      <c r="C533" s="20"/>
      <c r="D533" s="11"/>
      <c r="E533" s="9"/>
      <c r="F533" s="21" t="str">
        <f>IF(E533="","",IFERROR(INDEX(食材マスタ!$D$10:$D$309,MATCH(E533,食材マスタ!$C$10:$C$309,0)),"※コード未登録"))</f>
        <v/>
      </c>
      <c r="G533" s="16"/>
      <c r="H533" s="8" t="str">
        <f>IF(E533="","",IFERROR(INDEX(食材マスタ!$H$10:$H$309,MATCH(E533,食材マスタ!$C$10:$C$309,0)),""))</f>
        <v/>
      </c>
      <c r="I533" s="15" t="str">
        <f>IF(E533="","",IFERROR(INDEX(食材マスタ!$K$10:$K$309,MATCH(E533,食材マスタ!$C$10:$C$309,0)),""))</f>
        <v/>
      </c>
      <c r="J533" s="15" t="str">
        <f t="shared" si="40"/>
        <v/>
      </c>
      <c r="K533" s="20"/>
      <c r="L533" s="8" t="str">
        <f t="shared" si="41"/>
        <v/>
      </c>
      <c r="M533" s="9"/>
      <c r="N533" s="13" t="str">
        <f t="shared" si="42"/>
        <v/>
      </c>
      <c r="O533" s="22" t="str">
        <f t="shared" ca="1" si="43"/>
        <v/>
      </c>
      <c r="P533" s="17" t="str">
        <f t="shared" si="44"/>
        <v/>
      </c>
      <c r="Q533" s="11"/>
      <c r="R533" s="19"/>
      <c r="S533" s="19"/>
      <c r="U533">
        <f ca="1">IF(AND(ISNUMBER(O533),O533&lt;=設定!$C$4),1,0)</f>
        <v>0</v>
      </c>
      <c r="V533" t="str">
        <f ca="1">IF(U533=1,SUM($U$10:U533),"")</f>
        <v/>
      </c>
    </row>
    <row r="534" spans="2:22">
      <c r="B534" s="8" t="str">
        <f>IF(C534="","",COUNT($C$10:C534))</f>
        <v/>
      </c>
      <c r="C534" s="20"/>
      <c r="D534" s="11"/>
      <c r="E534" s="9"/>
      <c r="F534" s="21" t="str">
        <f>IF(E534="","",IFERROR(INDEX(食材マスタ!$D$10:$D$309,MATCH(E534,食材マスタ!$C$10:$C$309,0)),"※コード未登録"))</f>
        <v/>
      </c>
      <c r="G534" s="16"/>
      <c r="H534" s="8" t="str">
        <f>IF(E534="","",IFERROR(INDEX(食材マスタ!$H$10:$H$309,MATCH(E534,食材マスタ!$C$10:$C$309,0)),""))</f>
        <v/>
      </c>
      <c r="I534" s="15" t="str">
        <f>IF(E534="","",IFERROR(INDEX(食材マスタ!$K$10:$K$309,MATCH(E534,食材マスタ!$C$10:$C$309,0)),""))</f>
        <v/>
      </c>
      <c r="J534" s="15" t="str">
        <f t="shared" si="40"/>
        <v/>
      </c>
      <c r="K534" s="20"/>
      <c r="L534" s="8" t="str">
        <f t="shared" si="41"/>
        <v/>
      </c>
      <c r="M534" s="9"/>
      <c r="N534" s="13" t="str">
        <f t="shared" si="42"/>
        <v/>
      </c>
      <c r="O534" s="22" t="str">
        <f t="shared" ca="1" si="43"/>
        <v/>
      </c>
      <c r="P534" s="17" t="str">
        <f t="shared" si="44"/>
        <v/>
      </c>
      <c r="Q534" s="11"/>
      <c r="R534" s="19"/>
      <c r="S534" s="19"/>
      <c r="U534">
        <f ca="1">IF(AND(ISNUMBER(O534),O534&lt;=設定!$C$4),1,0)</f>
        <v>0</v>
      </c>
      <c r="V534" t="str">
        <f ca="1">IF(U534=1,SUM($U$10:U534),"")</f>
        <v/>
      </c>
    </row>
    <row r="535" spans="2:22">
      <c r="B535" s="8" t="str">
        <f>IF(C535="","",COUNT($C$10:C535))</f>
        <v/>
      </c>
      <c r="C535" s="20"/>
      <c r="D535" s="11"/>
      <c r="E535" s="9"/>
      <c r="F535" s="21" t="str">
        <f>IF(E535="","",IFERROR(INDEX(食材マスタ!$D$10:$D$309,MATCH(E535,食材マスタ!$C$10:$C$309,0)),"※コード未登録"))</f>
        <v/>
      </c>
      <c r="G535" s="16"/>
      <c r="H535" s="8" t="str">
        <f>IF(E535="","",IFERROR(INDEX(食材マスタ!$H$10:$H$309,MATCH(E535,食材マスタ!$C$10:$C$309,0)),""))</f>
        <v/>
      </c>
      <c r="I535" s="15" t="str">
        <f>IF(E535="","",IFERROR(INDEX(食材マスタ!$K$10:$K$309,MATCH(E535,食材マスタ!$C$10:$C$309,0)),""))</f>
        <v/>
      </c>
      <c r="J535" s="15" t="str">
        <f t="shared" si="40"/>
        <v/>
      </c>
      <c r="K535" s="20"/>
      <c r="L535" s="8" t="str">
        <f t="shared" si="41"/>
        <v/>
      </c>
      <c r="M535" s="9"/>
      <c r="N535" s="13" t="str">
        <f t="shared" si="42"/>
        <v/>
      </c>
      <c r="O535" s="22" t="str">
        <f t="shared" ca="1" si="43"/>
        <v/>
      </c>
      <c r="P535" s="17" t="str">
        <f t="shared" si="44"/>
        <v/>
      </c>
      <c r="Q535" s="11"/>
      <c r="R535" s="19"/>
      <c r="S535" s="19"/>
      <c r="U535">
        <f ca="1">IF(AND(ISNUMBER(O535),O535&lt;=設定!$C$4),1,0)</f>
        <v>0</v>
      </c>
      <c r="V535" t="str">
        <f ca="1">IF(U535=1,SUM($U$10:U535),"")</f>
        <v/>
      </c>
    </row>
    <row r="536" spans="2:22">
      <c r="B536" s="8" t="str">
        <f>IF(C536="","",COUNT($C$10:C536))</f>
        <v/>
      </c>
      <c r="C536" s="20"/>
      <c r="D536" s="11"/>
      <c r="E536" s="9"/>
      <c r="F536" s="21" t="str">
        <f>IF(E536="","",IFERROR(INDEX(食材マスタ!$D$10:$D$309,MATCH(E536,食材マスタ!$C$10:$C$309,0)),"※コード未登録"))</f>
        <v/>
      </c>
      <c r="G536" s="16"/>
      <c r="H536" s="8" t="str">
        <f>IF(E536="","",IFERROR(INDEX(食材マスタ!$H$10:$H$309,MATCH(E536,食材マスタ!$C$10:$C$309,0)),""))</f>
        <v/>
      </c>
      <c r="I536" s="15" t="str">
        <f>IF(E536="","",IFERROR(INDEX(食材マスタ!$K$10:$K$309,MATCH(E536,食材マスタ!$C$10:$C$309,0)),""))</f>
        <v/>
      </c>
      <c r="J536" s="15" t="str">
        <f t="shared" si="40"/>
        <v/>
      </c>
      <c r="K536" s="20"/>
      <c r="L536" s="8" t="str">
        <f t="shared" si="41"/>
        <v/>
      </c>
      <c r="M536" s="9"/>
      <c r="N536" s="13" t="str">
        <f t="shared" si="42"/>
        <v/>
      </c>
      <c r="O536" s="22" t="str">
        <f t="shared" ca="1" si="43"/>
        <v/>
      </c>
      <c r="P536" s="17" t="str">
        <f t="shared" si="44"/>
        <v/>
      </c>
      <c r="Q536" s="11"/>
      <c r="R536" s="19"/>
      <c r="S536" s="19"/>
      <c r="U536">
        <f ca="1">IF(AND(ISNUMBER(O536),O536&lt;=設定!$C$4),1,0)</f>
        <v>0</v>
      </c>
      <c r="V536" t="str">
        <f ca="1">IF(U536=1,SUM($U$10:U536),"")</f>
        <v/>
      </c>
    </row>
    <row r="537" spans="2:22">
      <c r="B537" s="8" t="str">
        <f>IF(C537="","",COUNT($C$10:C537))</f>
        <v/>
      </c>
      <c r="C537" s="20"/>
      <c r="D537" s="11"/>
      <c r="E537" s="9"/>
      <c r="F537" s="21" t="str">
        <f>IF(E537="","",IFERROR(INDEX(食材マスタ!$D$10:$D$309,MATCH(E537,食材マスタ!$C$10:$C$309,0)),"※コード未登録"))</f>
        <v/>
      </c>
      <c r="G537" s="16"/>
      <c r="H537" s="8" t="str">
        <f>IF(E537="","",IFERROR(INDEX(食材マスタ!$H$10:$H$309,MATCH(E537,食材マスタ!$C$10:$C$309,0)),""))</f>
        <v/>
      </c>
      <c r="I537" s="15" t="str">
        <f>IF(E537="","",IFERROR(INDEX(食材マスタ!$K$10:$K$309,MATCH(E537,食材マスタ!$C$10:$C$309,0)),""))</f>
        <v/>
      </c>
      <c r="J537" s="15" t="str">
        <f t="shared" si="40"/>
        <v/>
      </c>
      <c r="K537" s="20"/>
      <c r="L537" s="8" t="str">
        <f t="shared" si="41"/>
        <v/>
      </c>
      <c r="M537" s="9"/>
      <c r="N537" s="13" t="str">
        <f t="shared" si="42"/>
        <v/>
      </c>
      <c r="O537" s="22" t="str">
        <f t="shared" ca="1" si="43"/>
        <v/>
      </c>
      <c r="P537" s="17" t="str">
        <f t="shared" si="44"/>
        <v/>
      </c>
      <c r="Q537" s="11"/>
      <c r="R537" s="19"/>
      <c r="S537" s="19"/>
      <c r="U537">
        <f ca="1">IF(AND(ISNUMBER(O537),O537&lt;=設定!$C$4),1,0)</f>
        <v>0</v>
      </c>
      <c r="V537" t="str">
        <f ca="1">IF(U537=1,SUM($U$10:U537),"")</f>
        <v/>
      </c>
    </row>
    <row r="538" spans="2:22">
      <c r="B538" s="8" t="str">
        <f>IF(C538="","",COUNT($C$10:C538))</f>
        <v/>
      </c>
      <c r="C538" s="20"/>
      <c r="D538" s="11"/>
      <c r="E538" s="9"/>
      <c r="F538" s="21" t="str">
        <f>IF(E538="","",IFERROR(INDEX(食材マスタ!$D$10:$D$309,MATCH(E538,食材マスタ!$C$10:$C$309,0)),"※コード未登録"))</f>
        <v/>
      </c>
      <c r="G538" s="16"/>
      <c r="H538" s="8" t="str">
        <f>IF(E538="","",IFERROR(INDEX(食材マスタ!$H$10:$H$309,MATCH(E538,食材マスタ!$C$10:$C$309,0)),""))</f>
        <v/>
      </c>
      <c r="I538" s="15" t="str">
        <f>IF(E538="","",IFERROR(INDEX(食材マスタ!$K$10:$K$309,MATCH(E538,食材マスタ!$C$10:$C$309,0)),""))</f>
        <v/>
      </c>
      <c r="J538" s="15" t="str">
        <f t="shared" si="40"/>
        <v/>
      </c>
      <c r="K538" s="20"/>
      <c r="L538" s="8" t="str">
        <f t="shared" si="41"/>
        <v/>
      </c>
      <c r="M538" s="9"/>
      <c r="N538" s="13" t="str">
        <f t="shared" si="42"/>
        <v/>
      </c>
      <c r="O538" s="22" t="str">
        <f t="shared" ca="1" si="43"/>
        <v/>
      </c>
      <c r="P538" s="17" t="str">
        <f t="shared" si="44"/>
        <v/>
      </c>
      <c r="Q538" s="11"/>
      <c r="R538" s="19"/>
      <c r="S538" s="19"/>
      <c r="U538">
        <f ca="1">IF(AND(ISNUMBER(O538),O538&lt;=設定!$C$4),1,0)</f>
        <v>0</v>
      </c>
      <c r="V538" t="str">
        <f ca="1">IF(U538=1,SUM($U$10:U538),"")</f>
        <v/>
      </c>
    </row>
    <row r="539" spans="2:22">
      <c r="B539" s="8" t="str">
        <f>IF(C539="","",COUNT($C$10:C539))</f>
        <v/>
      </c>
      <c r="C539" s="20"/>
      <c r="D539" s="11"/>
      <c r="E539" s="9"/>
      <c r="F539" s="21" t="str">
        <f>IF(E539="","",IFERROR(INDEX(食材マスタ!$D$10:$D$309,MATCH(E539,食材マスタ!$C$10:$C$309,0)),"※コード未登録"))</f>
        <v/>
      </c>
      <c r="G539" s="16"/>
      <c r="H539" s="8" t="str">
        <f>IF(E539="","",IFERROR(INDEX(食材マスタ!$H$10:$H$309,MATCH(E539,食材マスタ!$C$10:$C$309,0)),""))</f>
        <v/>
      </c>
      <c r="I539" s="15" t="str">
        <f>IF(E539="","",IFERROR(INDEX(食材マスタ!$K$10:$K$309,MATCH(E539,食材マスタ!$C$10:$C$309,0)),""))</f>
        <v/>
      </c>
      <c r="J539" s="15" t="str">
        <f t="shared" si="40"/>
        <v/>
      </c>
      <c r="K539" s="20"/>
      <c r="L539" s="8" t="str">
        <f t="shared" si="41"/>
        <v/>
      </c>
      <c r="M539" s="9"/>
      <c r="N539" s="13" t="str">
        <f t="shared" si="42"/>
        <v/>
      </c>
      <c r="O539" s="22" t="str">
        <f t="shared" ca="1" si="43"/>
        <v/>
      </c>
      <c r="P539" s="17" t="str">
        <f t="shared" si="44"/>
        <v/>
      </c>
      <c r="Q539" s="11"/>
      <c r="R539" s="19"/>
      <c r="S539" s="19"/>
      <c r="U539">
        <f ca="1">IF(AND(ISNUMBER(O539),O539&lt;=設定!$C$4),1,0)</f>
        <v>0</v>
      </c>
      <c r="V539" t="str">
        <f ca="1">IF(U539=1,SUM($U$10:U539),"")</f>
        <v/>
      </c>
    </row>
    <row r="540" spans="2:22">
      <c r="B540" s="8" t="str">
        <f>IF(C540="","",COUNT($C$10:C540))</f>
        <v/>
      </c>
      <c r="C540" s="20"/>
      <c r="D540" s="11"/>
      <c r="E540" s="9"/>
      <c r="F540" s="21" t="str">
        <f>IF(E540="","",IFERROR(INDEX(食材マスタ!$D$10:$D$309,MATCH(E540,食材マスタ!$C$10:$C$309,0)),"※コード未登録"))</f>
        <v/>
      </c>
      <c r="G540" s="16"/>
      <c r="H540" s="8" t="str">
        <f>IF(E540="","",IFERROR(INDEX(食材マスタ!$H$10:$H$309,MATCH(E540,食材マスタ!$C$10:$C$309,0)),""))</f>
        <v/>
      </c>
      <c r="I540" s="15" t="str">
        <f>IF(E540="","",IFERROR(INDEX(食材マスタ!$K$10:$K$309,MATCH(E540,食材マスタ!$C$10:$C$309,0)),""))</f>
        <v/>
      </c>
      <c r="J540" s="15" t="str">
        <f t="shared" si="40"/>
        <v/>
      </c>
      <c r="K540" s="20"/>
      <c r="L540" s="8" t="str">
        <f t="shared" si="41"/>
        <v/>
      </c>
      <c r="M540" s="9"/>
      <c r="N540" s="13" t="str">
        <f t="shared" si="42"/>
        <v/>
      </c>
      <c r="O540" s="22" t="str">
        <f t="shared" ca="1" si="43"/>
        <v/>
      </c>
      <c r="P540" s="17" t="str">
        <f t="shared" si="44"/>
        <v/>
      </c>
      <c r="Q540" s="11"/>
      <c r="R540" s="19"/>
      <c r="S540" s="19"/>
      <c r="U540">
        <f ca="1">IF(AND(ISNUMBER(O540),O540&lt;=設定!$C$4),1,0)</f>
        <v>0</v>
      </c>
      <c r="V540" t="str">
        <f ca="1">IF(U540=1,SUM($U$10:U540),"")</f>
        <v/>
      </c>
    </row>
    <row r="541" spans="2:22">
      <c r="B541" s="8" t="str">
        <f>IF(C541="","",COUNT($C$10:C541))</f>
        <v/>
      </c>
      <c r="C541" s="20"/>
      <c r="D541" s="11"/>
      <c r="E541" s="9"/>
      <c r="F541" s="21" t="str">
        <f>IF(E541="","",IFERROR(INDEX(食材マスタ!$D$10:$D$309,MATCH(E541,食材マスタ!$C$10:$C$309,0)),"※コード未登録"))</f>
        <v/>
      </c>
      <c r="G541" s="16"/>
      <c r="H541" s="8" t="str">
        <f>IF(E541="","",IFERROR(INDEX(食材マスタ!$H$10:$H$309,MATCH(E541,食材マスタ!$C$10:$C$309,0)),""))</f>
        <v/>
      </c>
      <c r="I541" s="15" t="str">
        <f>IF(E541="","",IFERROR(INDEX(食材マスタ!$K$10:$K$309,MATCH(E541,食材マスタ!$C$10:$C$309,0)),""))</f>
        <v/>
      </c>
      <c r="J541" s="15" t="str">
        <f t="shared" si="40"/>
        <v/>
      </c>
      <c r="K541" s="20"/>
      <c r="L541" s="8" t="str">
        <f t="shared" si="41"/>
        <v/>
      </c>
      <c r="M541" s="9"/>
      <c r="N541" s="13" t="str">
        <f t="shared" si="42"/>
        <v/>
      </c>
      <c r="O541" s="22" t="str">
        <f t="shared" ca="1" si="43"/>
        <v/>
      </c>
      <c r="P541" s="17" t="str">
        <f t="shared" si="44"/>
        <v/>
      </c>
      <c r="Q541" s="11"/>
      <c r="R541" s="19"/>
      <c r="S541" s="19"/>
      <c r="U541">
        <f ca="1">IF(AND(ISNUMBER(O541),O541&lt;=設定!$C$4),1,0)</f>
        <v>0</v>
      </c>
      <c r="V541" t="str">
        <f ca="1">IF(U541=1,SUM($U$10:U541),"")</f>
        <v/>
      </c>
    </row>
    <row r="542" spans="2:22">
      <c r="B542" s="8" t="str">
        <f>IF(C542="","",COUNT($C$10:C542))</f>
        <v/>
      </c>
      <c r="C542" s="20"/>
      <c r="D542" s="11"/>
      <c r="E542" s="9"/>
      <c r="F542" s="21" t="str">
        <f>IF(E542="","",IFERROR(INDEX(食材マスタ!$D$10:$D$309,MATCH(E542,食材マスタ!$C$10:$C$309,0)),"※コード未登録"))</f>
        <v/>
      </c>
      <c r="G542" s="16"/>
      <c r="H542" s="8" t="str">
        <f>IF(E542="","",IFERROR(INDEX(食材マスタ!$H$10:$H$309,MATCH(E542,食材マスタ!$C$10:$C$309,0)),""))</f>
        <v/>
      </c>
      <c r="I542" s="15" t="str">
        <f>IF(E542="","",IFERROR(INDEX(食材マスタ!$K$10:$K$309,MATCH(E542,食材マスタ!$C$10:$C$309,0)),""))</f>
        <v/>
      </c>
      <c r="J542" s="15" t="str">
        <f t="shared" si="40"/>
        <v/>
      </c>
      <c r="K542" s="20"/>
      <c r="L542" s="8" t="str">
        <f t="shared" si="41"/>
        <v/>
      </c>
      <c r="M542" s="9"/>
      <c r="N542" s="13" t="str">
        <f t="shared" si="42"/>
        <v/>
      </c>
      <c r="O542" s="22" t="str">
        <f t="shared" ca="1" si="43"/>
        <v/>
      </c>
      <c r="P542" s="17" t="str">
        <f t="shared" si="44"/>
        <v/>
      </c>
      <c r="Q542" s="11"/>
      <c r="R542" s="19"/>
      <c r="S542" s="19"/>
      <c r="U542">
        <f ca="1">IF(AND(ISNUMBER(O542),O542&lt;=設定!$C$4),1,0)</f>
        <v>0</v>
      </c>
      <c r="V542" t="str">
        <f ca="1">IF(U542=1,SUM($U$10:U542),"")</f>
        <v/>
      </c>
    </row>
    <row r="543" spans="2:22">
      <c r="B543" s="8" t="str">
        <f>IF(C543="","",COUNT($C$10:C543))</f>
        <v/>
      </c>
      <c r="C543" s="20"/>
      <c r="D543" s="11"/>
      <c r="E543" s="9"/>
      <c r="F543" s="21" t="str">
        <f>IF(E543="","",IFERROR(INDEX(食材マスタ!$D$10:$D$309,MATCH(E543,食材マスタ!$C$10:$C$309,0)),"※コード未登録"))</f>
        <v/>
      </c>
      <c r="G543" s="16"/>
      <c r="H543" s="8" t="str">
        <f>IF(E543="","",IFERROR(INDEX(食材マスタ!$H$10:$H$309,MATCH(E543,食材マスタ!$C$10:$C$309,0)),""))</f>
        <v/>
      </c>
      <c r="I543" s="15" t="str">
        <f>IF(E543="","",IFERROR(INDEX(食材マスタ!$K$10:$K$309,MATCH(E543,食材マスタ!$C$10:$C$309,0)),""))</f>
        <v/>
      </c>
      <c r="J543" s="15" t="str">
        <f t="shared" si="40"/>
        <v/>
      </c>
      <c r="K543" s="20"/>
      <c r="L543" s="8" t="str">
        <f t="shared" si="41"/>
        <v/>
      </c>
      <c r="M543" s="9"/>
      <c r="N543" s="13" t="str">
        <f t="shared" si="42"/>
        <v/>
      </c>
      <c r="O543" s="22" t="str">
        <f t="shared" ca="1" si="43"/>
        <v/>
      </c>
      <c r="P543" s="17" t="str">
        <f t="shared" si="44"/>
        <v/>
      </c>
      <c r="Q543" s="11"/>
      <c r="R543" s="19"/>
      <c r="S543" s="19"/>
      <c r="U543">
        <f ca="1">IF(AND(ISNUMBER(O543),O543&lt;=設定!$C$4),1,0)</f>
        <v>0</v>
      </c>
      <c r="V543" t="str">
        <f ca="1">IF(U543=1,SUM($U$10:U543),"")</f>
        <v/>
      </c>
    </row>
    <row r="544" spans="2:22">
      <c r="B544" s="8" t="str">
        <f>IF(C544="","",COUNT($C$10:C544))</f>
        <v/>
      </c>
      <c r="C544" s="20"/>
      <c r="D544" s="11"/>
      <c r="E544" s="9"/>
      <c r="F544" s="21" t="str">
        <f>IF(E544="","",IFERROR(INDEX(食材マスタ!$D$10:$D$309,MATCH(E544,食材マスタ!$C$10:$C$309,0)),"※コード未登録"))</f>
        <v/>
      </c>
      <c r="G544" s="16"/>
      <c r="H544" s="8" t="str">
        <f>IF(E544="","",IFERROR(INDEX(食材マスタ!$H$10:$H$309,MATCH(E544,食材マスタ!$C$10:$C$309,0)),""))</f>
        <v/>
      </c>
      <c r="I544" s="15" t="str">
        <f>IF(E544="","",IFERROR(INDEX(食材マスタ!$K$10:$K$309,MATCH(E544,食材マスタ!$C$10:$C$309,0)),""))</f>
        <v/>
      </c>
      <c r="J544" s="15" t="str">
        <f t="shared" si="40"/>
        <v/>
      </c>
      <c r="K544" s="20"/>
      <c r="L544" s="8" t="str">
        <f t="shared" si="41"/>
        <v/>
      </c>
      <c r="M544" s="9"/>
      <c r="N544" s="13" t="str">
        <f t="shared" si="42"/>
        <v/>
      </c>
      <c r="O544" s="22" t="str">
        <f t="shared" ca="1" si="43"/>
        <v/>
      </c>
      <c r="P544" s="17" t="str">
        <f t="shared" si="44"/>
        <v/>
      </c>
      <c r="Q544" s="11"/>
      <c r="R544" s="19"/>
      <c r="S544" s="19"/>
      <c r="U544">
        <f ca="1">IF(AND(ISNUMBER(O544),O544&lt;=設定!$C$4),1,0)</f>
        <v>0</v>
      </c>
      <c r="V544" t="str">
        <f ca="1">IF(U544=1,SUM($U$10:U544),"")</f>
        <v/>
      </c>
    </row>
    <row r="545" spans="2:22">
      <c r="B545" s="8" t="str">
        <f>IF(C545="","",COUNT($C$10:C545))</f>
        <v/>
      </c>
      <c r="C545" s="20"/>
      <c r="D545" s="11"/>
      <c r="E545" s="9"/>
      <c r="F545" s="21" t="str">
        <f>IF(E545="","",IFERROR(INDEX(食材マスタ!$D$10:$D$309,MATCH(E545,食材マスタ!$C$10:$C$309,0)),"※コード未登録"))</f>
        <v/>
      </c>
      <c r="G545" s="16"/>
      <c r="H545" s="8" t="str">
        <f>IF(E545="","",IFERROR(INDEX(食材マスタ!$H$10:$H$309,MATCH(E545,食材マスタ!$C$10:$C$309,0)),""))</f>
        <v/>
      </c>
      <c r="I545" s="15" t="str">
        <f>IF(E545="","",IFERROR(INDEX(食材マスタ!$K$10:$K$309,MATCH(E545,食材マスタ!$C$10:$C$309,0)),""))</f>
        <v/>
      </c>
      <c r="J545" s="15" t="str">
        <f t="shared" si="40"/>
        <v/>
      </c>
      <c r="K545" s="20"/>
      <c r="L545" s="8" t="str">
        <f t="shared" si="41"/>
        <v/>
      </c>
      <c r="M545" s="9"/>
      <c r="N545" s="13" t="str">
        <f t="shared" si="42"/>
        <v/>
      </c>
      <c r="O545" s="22" t="str">
        <f t="shared" ca="1" si="43"/>
        <v/>
      </c>
      <c r="P545" s="17" t="str">
        <f t="shared" si="44"/>
        <v/>
      </c>
      <c r="Q545" s="11"/>
      <c r="R545" s="19"/>
      <c r="S545" s="19"/>
      <c r="U545">
        <f ca="1">IF(AND(ISNUMBER(O545),O545&lt;=設定!$C$4),1,0)</f>
        <v>0</v>
      </c>
      <c r="V545" t="str">
        <f ca="1">IF(U545=1,SUM($U$10:U545),"")</f>
        <v/>
      </c>
    </row>
    <row r="546" spans="2:22">
      <c r="B546" s="8" t="str">
        <f>IF(C546="","",COUNT($C$10:C546))</f>
        <v/>
      </c>
      <c r="C546" s="20"/>
      <c r="D546" s="11"/>
      <c r="E546" s="9"/>
      <c r="F546" s="21" t="str">
        <f>IF(E546="","",IFERROR(INDEX(食材マスタ!$D$10:$D$309,MATCH(E546,食材マスタ!$C$10:$C$309,0)),"※コード未登録"))</f>
        <v/>
      </c>
      <c r="G546" s="16"/>
      <c r="H546" s="8" t="str">
        <f>IF(E546="","",IFERROR(INDEX(食材マスタ!$H$10:$H$309,MATCH(E546,食材マスタ!$C$10:$C$309,0)),""))</f>
        <v/>
      </c>
      <c r="I546" s="15" t="str">
        <f>IF(E546="","",IFERROR(INDEX(食材マスタ!$K$10:$K$309,MATCH(E546,食材マスタ!$C$10:$C$309,0)),""))</f>
        <v/>
      </c>
      <c r="J546" s="15" t="str">
        <f t="shared" si="40"/>
        <v/>
      </c>
      <c r="K546" s="20"/>
      <c r="L546" s="8" t="str">
        <f t="shared" si="41"/>
        <v/>
      </c>
      <c r="M546" s="9"/>
      <c r="N546" s="13" t="str">
        <f t="shared" si="42"/>
        <v/>
      </c>
      <c r="O546" s="22" t="str">
        <f t="shared" ca="1" si="43"/>
        <v/>
      </c>
      <c r="P546" s="17" t="str">
        <f t="shared" si="44"/>
        <v/>
      </c>
      <c r="Q546" s="11"/>
      <c r="R546" s="19"/>
      <c r="S546" s="19"/>
      <c r="U546">
        <f ca="1">IF(AND(ISNUMBER(O546),O546&lt;=設定!$C$4),1,0)</f>
        <v>0</v>
      </c>
      <c r="V546" t="str">
        <f ca="1">IF(U546=1,SUM($U$10:U546),"")</f>
        <v/>
      </c>
    </row>
    <row r="547" spans="2:22">
      <c r="B547" s="8" t="str">
        <f>IF(C547="","",COUNT($C$10:C547))</f>
        <v/>
      </c>
      <c r="C547" s="20"/>
      <c r="D547" s="11"/>
      <c r="E547" s="9"/>
      <c r="F547" s="21" t="str">
        <f>IF(E547="","",IFERROR(INDEX(食材マスタ!$D$10:$D$309,MATCH(E547,食材マスタ!$C$10:$C$309,0)),"※コード未登録"))</f>
        <v/>
      </c>
      <c r="G547" s="16"/>
      <c r="H547" s="8" t="str">
        <f>IF(E547="","",IFERROR(INDEX(食材マスタ!$H$10:$H$309,MATCH(E547,食材マスタ!$C$10:$C$309,0)),""))</f>
        <v/>
      </c>
      <c r="I547" s="15" t="str">
        <f>IF(E547="","",IFERROR(INDEX(食材マスタ!$K$10:$K$309,MATCH(E547,食材マスタ!$C$10:$C$309,0)),""))</f>
        <v/>
      </c>
      <c r="J547" s="15" t="str">
        <f t="shared" si="40"/>
        <v/>
      </c>
      <c r="K547" s="20"/>
      <c r="L547" s="8" t="str">
        <f t="shared" si="41"/>
        <v/>
      </c>
      <c r="M547" s="9"/>
      <c r="N547" s="13" t="str">
        <f t="shared" si="42"/>
        <v/>
      </c>
      <c r="O547" s="22" t="str">
        <f t="shared" ca="1" si="43"/>
        <v/>
      </c>
      <c r="P547" s="17" t="str">
        <f t="shared" si="44"/>
        <v/>
      </c>
      <c r="Q547" s="11"/>
      <c r="R547" s="19"/>
      <c r="S547" s="19"/>
      <c r="U547">
        <f ca="1">IF(AND(ISNUMBER(O547),O547&lt;=設定!$C$4),1,0)</f>
        <v>0</v>
      </c>
      <c r="V547" t="str">
        <f ca="1">IF(U547=1,SUM($U$10:U547),"")</f>
        <v/>
      </c>
    </row>
    <row r="548" spans="2:22">
      <c r="B548" s="8" t="str">
        <f>IF(C548="","",COUNT($C$10:C548))</f>
        <v/>
      </c>
      <c r="C548" s="20"/>
      <c r="D548" s="11"/>
      <c r="E548" s="9"/>
      <c r="F548" s="21" t="str">
        <f>IF(E548="","",IFERROR(INDEX(食材マスタ!$D$10:$D$309,MATCH(E548,食材マスタ!$C$10:$C$309,0)),"※コード未登録"))</f>
        <v/>
      </c>
      <c r="G548" s="16"/>
      <c r="H548" s="8" t="str">
        <f>IF(E548="","",IFERROR(INDEX(食材マスタ!$H$10:$H$309,MATCH(E548,食材マスタ!$C$10:$C$309,0)),""))</f>
        <v/>
      </c>
      <c r="I548" s="15" t="str">
        <f>IF(E548="","",IFERROR(INDEX(食材マスタ!$K$10:$K$309,MATCH(E548,食材マスタ!$C$10:$C$309,0)),""))</f>
        <v/>
      </c>
      <c r="J548" s="15" t="str">
        <f t="shared" si="40"/>
        <v/>
      </c>
      <c r="K548" s="20"/>
      <c r="L548" s="8" t="str">
        <f t="shared" si="41"/>
        <v/>
      </c>
      <c r="M548" s="9"/>
      <c r="N548" s="13" t="str">
        <f t="shared" si="42"/>
        <v/>
      </c>
      <c r="O548" s="22" t="str">
        <f t="shared" ca="1" si="43"/>
        <v/>
      </c>
      <c r="P548" s="17" t="str">
        <f t="shared" si="44"/>
        <v/>
      </c>
      <c r="Q548" s="11"/>
      <c r="R548" s="19"/>
      <c r="S548" s="19"/>
      <c r="U548">
        <f ca="1">IF(AND(ISNUMBER(O548),O548&lt;=設定!$C$4),1,0)</f>
        <v>0</v>
      </c>
      <c r="V548" t="str">
        <f ca="1">IF(U548=1,SUM($U$10:U548),"")</f>
        <v/>
      </c>
    </row>
    <row r="549" spans="2:22">
      <c r="B549" s="8" t="str">
        <f>IF(C549="","",COUNT($C$10:C549))</f>
        <v/>
      </c>
      <c r="C549" s="20"/>
      <c r="D549" s="11"/>
      <c r="E549" s="9"/>
      <c r="F549" s="21" t="str">
        <f>IF(E549="","",IFERROR(INDEX(食材マスタ!$D$10:$D$309,MATCH(E549,食材マスタ!$C$10:$C$309,0)),"※コード未登録"))</f>
        <v/>
      </c>
      <c r="G549" s="16"/>
      <c r="H549" s="8" t="str">
        <f>IF(E549="","",IFERROR(INDEX(食材マスタ!$H$10:$H$309,MATCH(E549,食材マスタ!$C$10:$C$309,0)),""))</f>
        <v/>
      </c>
      <c r="I549" s="15" t="str">
        <f>IF(E549="","",IFERROR(INDEX(食材マスタ!$K$10:$K$309,MATCH(E549,食材マスタ!$C$10:$C$309,0)),""))</f>
        <v/>
      </c>
      <c r="J549" s="15" t="str">
        <f t="shared" si="40"/>
        <v/>
      </c>
      <c r="K549" s="20"/>
      <c r="L549" s="8" t="str">
        <f t="shared" si="41"/>
        <v/>
      </c>
      <c r="M549" s="9"/>
      <c r="N549" s="13" t="str">
        <f t="shared" si="42"/>
        <v/>
      </c>
      <c r="O549" s="22" t="str">
        <f t="shared" ca="1" si="43"/>
        <v/>
      </c>
      <c r="P549" s="17" t="str">
        <f t="shared" si="44"/>
        <v/>
      </c>
      <c r="Q549" s="11"/>
      <c r="R549" s="19"/>
      <c r="S549" s="19"/>
      <c r="U549">
        <f ca="1">IF(AND(ISNUMBER(O549),O549&lt;=設定!$C$4),1,0)</f>
        <v>0</v>
      </c>
      <c r="V549" t="str">
        <f ca="1">IF(U549=1,SUM($U$10:U549),"")</f>
        <v/>
      </c>
    </row>
    <row r="550" spans="2:22">
      <c r="B550" s="8" t="str">
        <f>IF(C550="","",COUNT($C$10:C550))</f>
        <v/>
      </c>
      <c r="C550" s="20"/>
      <c r="D550" s="11"/>
      <c r="E550" s="9"/>
      <c r="F550" s="21" t="str">
        <f>IF(E550="","",IFERROR(INDEX(食材マスタ!$D$10:$D$309,MATCH(E550,食材マスタ!$C$10:$C$309,0)),"※コード未登録"))</f>
        <v/>
      </c>
      <c r="G550" s="16"/>
      <c r="H550" s="8" t="str">
        <f>IF(E550="","",IFERROR(INDEX(食材マスタ!$H$10:$H$309,MATCH(E550,食材マスタ!$C$10:$C$309,0)),""))</f>
        <v/>
      </c>
      <c r="I550" s="15" t="str">
        <f>IF(E550="","",IFERROR(INDEX(食材マスタ!$K$10:$K$309,MATCH(E550,食材マスタ!$C$10:$C$309,0)),""))</f>
        <v/>
      </c>
      <c r="J550" s="15" t="str">
        <f t="shared" si="40"/>
        <v/>
      </c>
      <c r="K550" s="20"/>
      <c r="L550" s="8" t="str">
        <f t="shared" si="41"/>
        <v/>
      </c>
      <c r="M550" s="9"/>
      <c r="N550" s="13" t="str">
        <f t="shared" si="42"/>
        <v/>
      </c>
      <c r="O550" s="22" t="str">
        <f t="shared" ca="1" si="43"/>
        <v/>
      </c>
      <c r="P550" s="17" t="str">
        <f t="shared" si="44"/>
        <v/>
      </c>
      <c r="Q550" s="11"/>
      <c r="R550" s="19"/>
      <c r="S550" s="19"/>
      <c r="U550">
        <f ca="1">IF(AND(ISNUMBER(O550),O550&lt;=設定!$C$4),1,0)</f>
        <v>0</v>
      </c>
      <c r="V550" t="str">
        <f ca="1">IF(U550=1,SUM($U$10:U550),"")</f>
        <v/>
      </c>
    </row>
    <row r="551" spans="2:22">
      <c r="B551" s="8" t="str">
        <f>IF(C551="","",COUNT($C$10:C551))</f>
        <v/>
      </c>
      <c r="C551" s="20"/>
      <c r="D551" s="11"/>
      <c r="E551" s="9"/>
      <c r="F551" s="21" t="str">
        <f>IF(E551="","",IFERROR(INDEX(食材マスタ!$D$10:$D$309,MATCH(E551,食材マスタ!$C$10:$C$309,0)),"※コード未登録"))</f>
        <v/>
      </c>
      <c r="G551" s="16"/>
      <c r="H551" s="8" t="str">
        <f>IF(E551="","",IFERROR(INDEX(食材マスタ!$H$10:$H$309,MATCH(E551,食材マスタ!$C$10:$C$309,0)),""))</f>
        <v/>
      </c>
      <c r="I551" s="15" t="str">
        <f>IF(E551="","",IFERROR(INDEX(食材マスタ!$K$10:$K$309,MATCH(E551,食材マスタ!$C$10:$C$309,0)),""))</f>
        <v/>
      </c>
      <c r="J551" s="15" t="str">
        <f t="shared" si="40"/>
        <v/>
      </c>
      <c r="K551" s="20"/>
      <c r="L551" s="8" t="str">
        <f t="shared" si="41"/>
        <v/>
      </c>
      <c r="M551" s="9"/>
      <c r="N551" s="13" t="str">
        <f t="shared" si="42"/>
        <v/>
      </c>
      <c r="O551" s="22" t="str">
        <f t="shared" ca="1" si="43"/>
        <v/>
      </c>
      <c r="P551" s="17" t="str">
        <f t="shared" si="44"/>
        <v/>
      </c>
      <c r="Q551" s="11"/>
      <c r="R551" s="19"/>
      <c r="S551" s="19"/>
      <c r="U551">
        <f ca="1">IF(AND(ISNUMBER(O551),O551&lt;=設定!$C$4),1,0)</f>
        <v>0</v>
      </c>
      <c r="V551" t="str">
        <f ca="1">IF(U551=1,SUM($U$10:U551),"")</f>
        <v/>
      </c>
    </row>
    <row r="552" spans="2:22">
      <c r="B552" s="8" t="str">
        <f>IF(C552="","",COUNT($C$10:C552))</f>
        <v/>
      </c>
      <c r="C552" s="20"/>
      <c r="D552" s="11"/>
      <c r="E552" s="9"/>
      <c r="F552" s="21" t="str">
        <f>IF(E552="","",IFERROR(INDEX(食材マスタ!$D$10:$D$309,MATCH(E552,食材マスタ!$C$10:$C$309,0)),"※コード未登録"))</f>
        <v/>
      </c>
      <c r="G552" s="16"/>
      <c r="H552" s="8" t="str">
        <f>IF(E552="","",IFERROR(INDEX(食材マスタ!$H$10:$H$309,MATCH(E552,食材マスタ!$C$10:$C$309,0)),""))</f>
        <v/>
      </c>
      <c r="I552" s="15" t="str">
        <f>IF(E552="","",IFERROR(INDEX(食材マスタ!$K$10:$K$309,MATCH(E552,食材マスタ!$C$10:$C$309,0)),""))</f>
        <v/>
      </c>
      <c r="J552" s="15" t="str">
        <f t="shared" si="40"/>
        <v/>
      </c>
      <c r="K552" s="20"/>
      <c r="L552" s="8" t="str">
        <f t="shared" si="41"/>
        <v/>
      </c>
      <c r="M552" s="9"/>
      <c r="N552" s="13" t="str">
        <f t="shared" si="42"/>
        <v/>
      </c>
      <c r="O552" s="22" t="str">
        <f t="shared" ca="1" si="43"/>
        <v/>
      </c>
      <c r="P552" s="17" t="str">
        <f t="shared" si="44"/>
        <v/>
      </c>
      <c r="Q552" s="11"/>
      <c r="R552" s="19"/>
      <c r="S552" s="19"/>
      <c r="U552">
        <f ca="1">IF(AND(ISNUMBER(O552),O552&lt;=設定!$C$4),1,0)</f>
        <v>0</v>
      </c>
      <c r="V552" t="str">
        <f ca="1">IF(U552=1,SUM($U$10:U552),"")</f>
        <v/>
      </c>
    </row>
    <row r="553" spans="2:22">
      <c r="B553" s="8" t="str">
        <f>IF(C553="","",COUNT($C$10:C553))</f>
        <v/>
      </c>
      <c r="C553" s="20"/>
      <c r="D553" s="11"/>
      <c r="E553" s="9"/>
      <c r="F553" s="21" t="str">
        <f>IF(E553="","",IFERROR(INDEX(食材マスタ!$D$10:$D$309,MATCH(E553,食材マスタ!$C$10:$C$309,0)),"※コード未登録"))</f>
        <v/>
      </c>
      <c r="G553" s="16"/>
      <c r="H553" s="8" t="str">
        <f>IF(E553="","",IFERROR(INDEX(食材マスタ!$H$10:$H$309,MATCH(E553,食材マスタ!$C$10:$C$309,0)),""))</f>
        <v/>
      </c>
      <c r="I553" s="15" t="str">
        <f>IF(E553="","",IFERROR(INDEX(食材マスタ!$K$10:$K$309,MATCH(E553,食材マスタ!$C$10:$C$309,0)),""))</f>
        <v/>
      </c>
      <c r="J553" s="15" t="str">
        <f t="shared" si="40"/>
        <v/>
      </c>
      <c r="K553" s="20"/>
      <c r="L553" s="8" t="str">
        <f t="shared" si="41"/>
        <v/>
      </c>
      <c r="M553" s="9"/>
      <c r="N553" s="13" t="str">
        <f t="shared" si="42"/>
        <v/>
      </c>
      <c r="O553" s="22" t="str">
        <f t="shared" ca="1" si="43"/>
        <v/>
      </c>
      <c r="P553" s="17" t="str">
        <f t="shared" si="44"/>
        <v/>
      </c>
      <c r="Q553" s="11"/>
      <c r="R553" s="19"/>
      <c r="S553" s="19"/>
      <c r="U553">
        <f ca="1">IF(AND(ISNUMBER(O553),O553&lt;=設定!$C$4),1,0)</f>
        <v>0</v>
      </c>
      <c r="V553" t="str">
        <f ca="1">IF(U553=1,SUM($U$10:U553),"")</f>
        <v/>
      </c>
    </row>
    <row r="554" spans="2:22">
      <c r="B554" s="8" t="str">
        <f>IF(C554="","",COUNT($C$10:C554))</f>
        <v/>
      </c>
      <c r="C554" s="20"/>
      <c r="D554" s="11"/>
      <c r="E554" s="9"/>
      <c r="F554" s="21" t="str">
        <f>IF(E554="","",IFERROR(INDEX(食材マスタ!$D$10:$D$309,MATCH(E554,食材マスタ!$C$10:$C$309,0)),"※コード未登録"))</f>
        <v/>
      </c>
      <c r="G554" s="16"/>
      <c r="H554" s="8" t="str">
        <f>IF(E554="","",IFERROR(INDEX(食材マスタ!$H$10:$H$309,MATCH(E554,食材マスタ!$C$10:$C$309,0)),""))</f>
        <v/>
      </c>
      <c r="I554" s="15" t="str">
        <f>IF(E554="","",IFERROR(INDEX(食材マスタ!$K$10:$K$309,MATCH(E554,食材マスタ!$C$10:$C$309,0)),""))</f>
        <v/>
      </c>
      <c r="J554" s="15" t="str">
        <f t="shared" si="40"/>
        <v/>
      </c>
      <c r="K554" s="20"/>
      <c r="L554" s="8" t="str">
        <f t="shared" si="41"/>
        <v/>
      </c>
      <c r="M554" s="9"/>
      <c r="N554" s="13" t="str">
        <f t="shared" si="42"/>
        <v/>
      </c>
      <c r="O554" s="22" t="str">
        <f t="shared" ca="1" si="43"/>
        <v/>
      </c>
      <c r="P554" s="17" t="str">
        <f t="shared" si="44"/>
        <v/>
      </c>
      <c r="Q554" s="11"/>
      <c r="R554" s="19"/>
      <c r="S554" s="19"/>
      <c r="U554">
        <f ca="1">IF(AND(ISNUMBER(O554),O554&lt;=設定!$C$4),1,0)</f>
        <v>0</v>
      </c>
      <c r="V554" t="str">
        <f ca="1">IF(U554=1,SUM($U$10:U554),"")</f>
        <v/>
      </c>
    </row>
    <row r="555" spans="2:22">
      <c r="B555" s="8" t="str">
        <f>IF(C555="","",COUNT($C$10:C555))</f>
        <v/>
      </c>
      <c r="C555" s="20"/>
      <c r="D555" s="11"/>
      <c r="E555" s="9"/>
      <c r="F555" s="21" t="str">
        <f>IF(E555="","",IFERROR(INDEX(食材マスタ!$D$10:$D$309,MATCH(E555,食材マスタ!$C$10:$C$309,0)),"※コード未登録"))</f>
        <v/>
      </c>
      <c r="G555" s="16"/>
      <c r="H555" s="8" t="str">
        <f>IF(E555="","",IFERROR(INDEX(食材マスタ!$H$10:$H$309,MATCH(E555,食材マスタ!$C$10:$C$309,0)),""))</f>
        <v/>
      </c>
      <c r="I555" s="15" t="str">
        <f>IF(E555="","",IFERROR(INDEX(食材マスタ!$K$10:$K$309,MATCH(E555,食材マスタ!$C$10:$C$309,0)),""))</f>
        <v/>
      </c>
      <c r="J555" s="15" t="str">
        <f t="shared" si="40"/>
        <v/>
      </c>
      <c r="K555" s="20"/>
      <c r="L555" s="8" t="str">
        <f t="shared" si="41"/>
        <v/>
      </c>
      <c r="M555" s="9"/>
      <c r="N555" s="13" t="str">
        <f t="shared" si="42"/>
        <v/>
      </c>
      <c r="O555" s="22" t="str">
        <f t="shared" ca="1" si="43"/>
        <v/>
      </c>
      <c r="P555" s="17" t="str">
        <f t="shared" si="44"/>
        <v/>
      </c>
      <c r="Q555" s="11"/>
      <c r="R555" s="19"/>
      <c r="S555" s="19"/>
      <c r="U555">
        <f ca="1">IF(AND(ISNUMBER(O555),O555&lt;=設定!$C$4),1,0)</f>
        <v>0</v>
      </c>
      <c r="V555" t="str">
        <f ca="1">IF(U555=1,SUM($U$10:U555),"")</f>
        <v/>
      </c>
    </row>
    <row r="556" spans="2:22">
      <c r="B556" s="8" t="str">
        <f>IF(C556="","",COUNT($C$10:C556))</f>
        <v/>
      </c>
      <c r="C556" s="20"/>
      <c r="D556" s="11"/>
      <c r="E556" s="9"/>
      <c r="F556" s="21" t="str">
        <f>IF(E556="","",IFERROR(INDEX(食材マスタ!$D$10:$D$309,MATCH(E556,食材マスタ!$C$10:$C$309,0)),"※コード未登録"))</f>
        <v/>
      </c>
      <c r="G556" s="16"/>
      <c r="H556" s="8" t="str">
        <f>IF(E556="","",IFERROR(INDEX(食材マスタ!$H$10:$H$309,MATCH(E556,食材マスタ!$C$10:$C$309,0)),""))</f>
        <v/>
      </c>
      <c r="I556" s="15" t="str">
        <f>IF(E556="","",IFERROR(INDEX(食材マスタ!$K$10:$K$309,MATCH(E556,食材マスタ!$C$10:$C$309,0)),""))</f>
        <v/>
      </c>
      <c r="J556" s="15" t="str">
        <f t="shared" si="40"/>
        <v/>
      </c>
      <c r="K556" s="20"/>
      <c r="L556" s="8" t="str">
        <f t="shared" si="41"/>
        <v/>
      </c>
      <c r="M556" s="9"/>
      <c r="N556" s="13" t="str">
        <f t="shared" si="42"/>
        <v/>
      </c>
      <c r="O556" s="22" t="str">
        <f t="shared" ca="1" si="43"/>
        <v/>
      </c>
      <c r="P556" s="17" t="str">
        <f t="shared" si="44"/>
        <v/>
      </c>
      <c r="Q556" s="11"/>
      <c r="R556" s="19"/>
      <c r="S556" s="19"/>
      <c r="U556">
        <f ca="1">IF(AND(ISNUMBER(O556),O556&lt;=設定!$C$4),1,0)</f>
        <v>0</v>
      </c>
      <c r="V556" t="str">
        <f ca="1">IF(U556=1,SUM($U$10:U556),"")</f>
        <v/>
      </c>
    </row>
    <row r="557" spans="2:22">
      <c r="B557" s="8" t="str">
        <f>IF(C557="","",COUNT($C$10:C557))</f>
        <v/>
      </c>
      <c r="C557" s="20"/>
      <c r="D557" s="11"/>
      <c r="E557" s="9"/>
      <c r="F557" s="21" t="str">
        <f>IF(E557="","",IFERROR(INDEX(食材マスタ!$D$10:$D$309,MATCH(E557,食材マスタ!$C$10:$C$309,0)),"※コード未登録"))</f>
        <v/>
      </c>
      <c r="G557" s="16"/>
      <c r="H557" s="8" t="str">
        <f>IF(E557="","",IFERROR(INDEX(食材マスタ!$H$10:$H$309,MATCH(E557,食材マスタ!$C$10:$C$309,0)),""))</f>
        <v/>
      </c>
      <c r="I557" s="15" t="str">
        <f>IF(E557="","",IFERROR(INDEX(食材マスタ!$K$10:$K$309,MATCH(E557,食材マスタ!$C$10:$C$309,0)),""))</f>
        <v/>
      </c>
      <c r="J557" s="15" t="str">
        <f t="shared" si="40"/>
        <v/>
      </c>
      <c r="K557" s="20"/>
      <c r="L557" s="8" t="str">
        <f t="shared" si="41"/>
        <v/>
      </c>
      <c r="M557" s="9"/>
      <c r="N557" s="13" t="str">
        <f t="shared" si="42"/>
        <v/>
      </c>
      <c r="O557" s="22" t="str">
        <f t="shared" ca="1" si="43"/>
        <v/>
      </c>
      <c r="P557" s="17" t="str">
        <f t="shared" si="44"/>
        <v/>
      </c>
      <c r="Q557" s="11"/>
      <c r="R557" s="19"/>
      <c r="S557" s="19"/>
      <c r="U557">
        <f ca="1">IF(AND(ISNUMBER(O557),O557&lt;=設定!$C$4),1,0)</f>
        <v>0</v>
      </c>
      <c r="V557" t="str">
        <f ca="1">IF(U557=1,SUM($U$10:U557),"")</f>
        <v/>
      </c>
    </row>
    <row r="558" spans="2:22">
      <c r="B558" s="8" t="str">
        <f>IF(C558="","",COUNT($C$10:C558))</f>
        <v/>
      </c>
      <c r="C558" s="20"/>
      <c r="D558" s="11"/>
      <c r="E558" s="9"/>
      <c r="F558" s="21" t="str">
        <f>IF(E558="","",IFERROR(INDEX(食材マスタ!$D$10:$D$309,MATCH(E558,食材マスタ!$C$10:$C$309,0)),"※コード未登録"))</f>
        <v/>
      </c>
      <c r="G558" s="16"/>
      <c r="H558" s="8" t="str">
        <f>IF(E558="","",IFERROR(INDEX(食材マスタ!$H$10:$H$309,MATCH(E558,食材マスタ!$C$10:$C$309,0)),""))</f>
        <v/>
      </c>
      <c r="I558" s="15" t="str">
        <f>IF(E558="","",IFERROR(INDEX(食材マスタ!$K$10:$K$309,MATCH(E558,食材マスタ!$C$10:$C$309,0)),""))</f>
        <v/>
      </c>
      <c r="J558" s="15" t="str">
        <f t="shared" si="40"/>
        <v/>
      </c>
      <c r="K558" s="20"/>
      <c r="L558" s="8" t="str">
        <f t="shared" si="41"/>
        <v/>
      </c>
      <c r="M558" s="9"/>
      <c r="N558" s="13" t="str">
        <f t="shared" si="42"/>
        <v/>
      </c>
      <c r="O558" s="22" t="str">
        <f t="shared" ca="1" si="43"/>
        <v/>
      </c>
      <c r="P558" s="17" t="str">
        <f t="shared" si="44"/>
        <v/>
      </c>
      <c r="Q558" s="11"/>
      <c r="R558" s="19"/>
      <c r="S558" s="19"/>
      <c r="U558">
        <f ca="1">IF(AND(ISNUMBER(O558),O558&lt;=設定!$C$4),1,0)</f>
        <v>0</v>
      </c>
      <c r="V558" t="str">
        <f ca="1">IF(U558=1,SUM($U$10:U558),"")</f>
        <v/>
      </c>
    </row>
    <row r="559" spans="2:22">
      <c r="B559" s="8" t="str">
        <f>IF(C559="","",COUNT($C$10:C559))</f>
        <v/>
      </c>
      <c r="C559" s="20"/>
      <c r="D559" s="11"/>
      <c r="E559" s="9"/>
      <c r="F559" s="21" t="str">
        <f>IF(E559="","",IFERROR(INDEX(食材マスタ!$D$10:$D$309,MATCH(E559,食材マスタ!$C$10:$C$309,0)),"※コード未登録"))</f>
        <v/>
      </c>
      <c r="G559" s="16"/>
      <c r="H559" s="8" t="str">
        <f>IF(E559="","",IFERROR(INDEX(食材マスタ!$H$10:$H$309,MATCH(E559,食材マスタ!$C$10:$C$309,0)),""))</f>
        <v/>
      </c>
      <c r="I559" s="15" t="str">
        <f>IF(E559="","",IFERROR(INDEX(食材マスタ!$K$10:$K$309,MATCH(E559,食材マスタ!$C$10:$C$309,0)),""))</f>
        <v/>
      </c>
      <c r="J559" s="15" t="str">
        <f t="shared" si="40"/>
        <v/>
      </c>
      <c r="K559" s="20"/>
      <c r="L559" s="8" t="str">
        <f t="shared" si="41"/>
        <v/>
      </c>
      <c r="M559" s="9"/>
      <c r="N559" s="13" t="str">
        <f t="shared" si="42"/>
        <v/>
      </c>
      <c r="O559" s="22" t="str">
        <f t="shared" ca="1" si="43"/>
        <v/>
      </c>
      <c r="P559" s="17" t="str">
        <f t="shared" si="44"/>
        <v/>
      </c>
      <c r="Q559" s="11"/>
      <c r="R559" s="19"/>
      <c r="S559" s="19"/>
      <c r="U559">
        <f ca="1">IF(AND(ISNUMBER(O559),O559&lt;=設定!$C$4),1,0)</f>
        <v>0</v>
      </c>
      <c r="V559" t="str">
        <f ca="1">IF(U559=1,SUM($U$10:U559),"")</f>
        <v/>
      </c>
    </row>
    <row r="560" spans="2:22">
      <c r="B560" s="8" t="str">
        <f>IF(C560="","",COUNT($C$10:C560))</f>
        <v/>
      </c>
      <c r="C560" s="20"/>
      <c r="D560" s="11"/>
      <c r="E560" s="9"/>
      <c r="F560" s="21" t="str">
        <f>IF(E560="","",IFERROR(INDEX(食材マスタ!$D$10:$D$309,MATCH(E560,食材マスタ!$C$10:$C$309,0)),"※コード未登録"))</f>
        <v/>
      </c>
      <c r="G560" s="16"/>
      <c r="H560" s="8" t="str">
        <f>IF(E560="","",IFERROR(INDEX(食材マスタ!$H$10:$H$309,MATCH(E560,食材マスタ!$C$10:$C$309,0)),""))</f>
        <v/>
      </c>
      <c r="I560" s="15" t="str">
        <f>IF(E560="","",IFERROR(INDEX(食材マスタ!$K$10:$K$309,MATCH(E560,食材マスタ!$C$10:$C$309,0)),""))</f>
        <v/>
      </c>
      <c r="J560" s="15" t="str">
        <f t="shared" si="40"/>
        <v/>
      </c>
      <c r="K560" s="20"/>
      <c r="L560" s="8" t="str">
        <f t="shared" si="41"/>
        <v/>
      </c>
      <c r="M560" s="9"/>
      <c r="N560" s="13" t="str">
        <f t="shared" si="42"/>
        <v/>
      </c>
      <c r="O560" s="22" t="str">
        <f t="shared" ca="1" si="43"/>
        <v/>
      </c>
      <c r="P560" s="17" t="str">
        <f t="shared" si="44"/>
        <v/>
      </c>
      <c r="Q560" s="11"/>
      <c r="R560" s="19"/>
      <c r="S560" s="19"/>
      <c r="U560">
        <f ca="1">IF(AND(ISNUMBER(O560),O560&lt;=設定!$C$4),1,0)</f>
        <v>0</v>
      </c>
      <c r="V560" t="str">
        <f ca="1">IF(U560=1,SUM($U$10:U560),"")</f>
        <v/>
      </c>
    </row>
    <row r="561" spans="2:22">
      <c r="B561" s="8" t="str">
        <f>IF(C561="","",COUNT($C$10:C561))</f>
        <v/>
      </c>
      <c r="C561" s="20"/>
      <c r="D561" s="11"/>
      <c r="E561" s="9"/>
      <c r="F561" s="21" t="str">
        <f>IF(E561="","",IFERROR(INDEX(食材マスタ!$D$10:$D$309,MATCH(E561,食材マスタ!$C$10:$C$309,0)),"※コード未登録"))</f>
        <v/>
      </c>
      <c r="G561" s="16"/>
      <c r="H561" s="8" t="str">
        <f>IF(E561="","",IFERROR(INDEX(食材マスタ!$H$10:$H$309,MATCH(E561,食材マスタ!$C$10:$C$309,0)),""))</f>
        <v/>
      </c>
      <c r="I561" s="15" t="str">
        <f>IF(E561="","",IFERROR(INDEX(食材マスタ!$K$10:$K$309,MATCH(E561,食材マスタ!$C$10:$C$309,0)),""))</f>
        <v/>
      </c>
      <c r="J561" s="15" t="str">
        <f t="shared" si="40"/>
        <v/>
      </c>
      <c r="K561" s="20"/>
      <c r="L561" s="8" t="str">
        <f t="shared" si="41"/>
        <v/>
      </c>
      <c r="M561" s="9"/>
      <c r="N561" s="13" t="str">
        <f t="shared" si="42"/>
        <v/>
      </c>
      <c r="O561" s="22" t="str">
        <f t="shared" ca="1" si="43"/>
        <v/>
      </c>
      <c r="P561" s="17" t="str">
        <f t="shared" si="44"/>
        <v/>
      </c>
      <c r="Q561" s="11"/>
      <c r="R561" s="19"/>
      <c r="S561" s="19"/>
      <c r="U561">
        <f ca="1">IF(AND(ISNUMBER(O561),O561&lt;=設定!$C$4),1,0)</f>
        <v>0</v>
      </c>
      <c r="V561" t="str">
        <f ca="1">IF(U561=1,SUM($U$10:U561),"")</f>
        <v/>
      </c>
    </row>
    <row r="562" spans="2:22">
      <c r="B562" s="8" t="str">
        <f>IF(C562="","",COUNT($C$10:C562))</f>
        <v/>
      </c>
      <c r="C562" s="20"/>
      <c r="D562" s="11"/>
      <c r="E562" s="9"/>
      <c r="F562" s="21" t="str">
        <f>IF(E562="","",IFERROR(INDEX(食材マスタ!$D$10:$D$309,MATCH(E562,食材マスタ!$C$10:$C$309,0)),"※コード未登録"))</f>
        <v/>
      </c>
      <c r="G562" s="16"/>
      <c r="H562" s="8" t="str">
        <f>IF(E562="","",IFERROR(INDEX(食材マスタ!$H$10:$H$309,MATCH(E562,食材マスタ!$C$10:$C$309,0)),""))</f>
        <v/>
      </c>
      <c r="I562" s="15" t="str">
        <f>IF(E562="","",IFERROR(INDEX(食材マスタ!$K$10:$K$309,MATCH(E562,食材マスタ!$C$10:$C$309,0)),""))</f>
        <v/>
      </c>
      <c r="J562" s="15" t="str">
        <f t="shared" si="40"/>
        <v/>
      </c>
      <c r="K562" s="20"/>
      <c r="L562" s="8" t="str">
        <f t="shared" si="41"/>
        <v/>
      </c>
      <c r="M562" s="9"/>
      <c r="N562" s="13" t="str">
        <f t="shared" si="42"/>
        <v/>
      </c>
      <c r="O562" s="22" t="str">
        <f t="shared" ca="1" si="43"/>
        <v/>
      </c>
      <c r="P562" s="17" t="str">
        <f t="shared" si="44"/>
        <v/>
      </c>
      <c r="Q562" s="11"/>
      <c r="R562" s="19"/>
      <c r="S562" s="19"/>
      <c r="U562">
        <f ca="1">IF(AND(ISNUMBER(O562),O562&lt;=設定!$C$4),1,0)</f>
        <v>0</v>
      </c>
      <c r="V562" t="str">
        <f ca="1">IF(U562=1,SUM($U$10:U562),"")</f>
        <v/>
      </c>
    </row>
    <row r="563" spans="2:22">
      <c r="B563" s="8" t="str">
        <f>IF(C563="","",COUNT($C$10:C563))</f>
        <v/>
      </c>
      <c r="C563" s="20"/>
      <c r="D563" s="11"/>
      <c r="E563" s="9"/>
      <c r="F563" s="21" t="str">
        <f>IF(E563="","",IFERROR(INDEX(食材マスタ!$D$10:$D$309,MATCH(E563,食材マスタ!$C$10:$C$309,0)),"※コード未登録"))</f>
        <v/>
      </c>
      <c r="G563" s="16"/>
      <c r="H563" s="8" t="str">
        <f>IF(E563="","",IFERROR(INDEX(食材マスタ!$H$10:$H$309,MATCH(E563,食材マスタ!$C$10:$C$309,0)),""))</f>
        <v/>
      </c>
      <c r="I563" s="15" t="str">
        <f>IF(E563="","",IFERROR(INDEX(食材マスタ!$K$10:$K$309,MATCH(E563,食材マスタ!$C$10:$C$309,0)),""))</f>
        <v/>
      </c>
      <c r="J563" s="15" t="str">
        <f t="shared" si="40"/>
        <v/>
      </c>
      <c r="K563" s="20"/>
      <c r="L563" s="8" t="str">
        <f t="shared" si="41"/>
        <v/>
      </c>
      <c r="M563" s="9"/>
      <c r="N563" s="13" t="str">
        <f t="shared" si="42"/>
        <v/>
      </c>
      <c r="O563" s="22" t="str">
        <f t="shared" ca="1" si="43"/>
        <v/>
      </c>
      <c r="P563" s="17" t="str">
        <f t="shared" si="44"/>
        <v/>
      </c>
      <c r="Q563" s="11"/>
      <c r="R563" s="19"/>
      <c r="S563" s="19"/>
      <c r="U563">
        <f ca="1">IF(AND(ISNUMBER(O563),O563&lt;=設定!$C$4),1,0)</f>
        <v>0</v>
      </c>
      <c r="V563" t="str">
        <f ca="1">IF(U563=1,SUM($U$10:U563),"")</f>
        <v/>
      </c>
    </row>
    <row r="564" spans="2:22">
      <c r="B564" s="8" t="str">
        <f>IF(C564="","",COUNT($C$10:C564))</f>
        <v/>
      </c>
      <c r="C564" s="20"/>
      <c r="D564" s="11"/>
      <c r="E564" s="9"/>
      <c r="F564" s="21" t="str">
        <f>IF(E564="","",IFERROR(INDEX(食材マスタ!$D$10:$D$309,MATCH(E564,食材マスタ!$C$10:$C$309,0)),"※コード未登録"))</f>
        <v/>
      </c>
      <c r="G564" s="16"/>
      <c r="H564" s="8" t="str">
        <f>IF(E564="","",IFERROR(INDEX(食材マスタ!$H$10:$H$309,MATCH(E564,食材マスタ!$C$10:$C$309,0)),""))</f>
        <v/>
      </c>
      <c r="I564" s="15" t="str">
        <f>IF(E564="","",IFERROR(INDEX(食材マスタ!$K$10:$K$309,MATCH(E564,食材マスタ!$C$10:$C$309,0)),""))</f>
        <v/>
      </c>
      <c r="J564" s="15" t="str">
        <f t="shared" si="40"/>
        <v/>
      </c>
      <c r="K564" s="20"/>
      <c r="L564" s="8" t="str">
        <f t="shared" si="41"/>
        <v/>
      </c>
      <c r="M564" s="9"/>
      <c r="N564" s="13" t="str">
        <f t="shared" si="42"/>
        <v/>
      </c>
      <c r="O564" s="22" t="str">
        <f t="shared" ca="1" si="43"/>
        <v/>
      </c>
      <c r="P564" s="17" t="str">
        <f t="shared" si="44"/>
        <v/>
      </c>
      <c r="Q564" s="11"/>
      <c r="R564" s="19"/>
      <c r="S564" s="19"/>
      <c r="U564">
        <f ca="1">IF(AND(ISNUMBER(O564),O564&lt;=設定!$C$4),1,0)</f>
        <v>0</v>
      </c>
      <c r="V564" t="str">
        <f ca="1">IF(U564=1,SUM($U$10:U564),"")</f>
        <v/>
      </c>
    </row>
    <row r="565" spans="2:22">
      <c r="B565" s="8" t="str">
        <f>IF(C565="","",COUNT($C$10:C565))</f>
        <v/>
      </c>
      <c r="C565" s="20"/>
      <c r="D565" s="11"/>
      <c r="E565" s="9"/>
      <c r="F565" s="21" t="str">
        <f>IF(E565="","",IFERROR(INDEX(食材マスタ!$D$10:$D$309,MATCH(E565,食材マスタ!$C$10:$C$309,0)),"※コード未登録"))</f>
        <v/>
      </c>
      <c r="G565" s="16"/>
      <c r="H565" s="8" t="str">
        <f>IF(E565="","",IFERROR(INDEX(食材マスタ!$H$10:$H$309,MATCH(E565,食材マスタ!$C$10:$C$309,0)),""))</f>
        <v/>
      </c>
      <c r="I565" s="15" t="str">
        <f>IF(E565="","",IFERROR(INDEX(食材マスタ!$K$10:$K$309,MATCH(E565,食材マスタ!$C$10:$C$309,0)),""))</f>
        <v/>
      </c>
      <c r="J565" s="15" t="str">
        <f t="shared" si="40"/>
        <v/>
      </c>
      <c r="K565" s="20"/>
      <c r="L565" s="8" t="str">
        <f t="shared" si="41"/>
        <v/>
      </c>
      <c r="M565" s="9"/>
      <c r="N565" s="13" t="str">
        <f t="shared" si="42"/>
        <v/>
      </c>
      <c r="O565" s="22" t="str">
        <f t="shared" ca="1" si="43"/>
        <v/>
      </c>
      <c r="P565" s="17" t="str">
        <f t="shared" si="44"/>
        <v/>
      </c>
      <c r="Q565" s="11"/>
      <c r="R565" s="19"/>
      <c r="S565" s="19"/>
      <c r="U565">
        <f ca="1">IF(AND(ISNUMBER(O565),O565&lt;=設定!$C$4),1,0)</f>
        <v>0</v>
      </c>
      <c r="V565" t="str">
        <f ca="1">IF(U565=1,SUM($U$10:U565),"")</f>
        <v/>
      </c>
    </row>
    <row r="566" spans="2:22">
      <c r="B566" s="8" t="str">
        <f>IF(C566="","",COUNT($C$10:C566))</f>
        <v/>
      </c>
      <c r="C566" s="20"/>
      <c r="D566" s="11"/>
      <c r="E566" s="9"/>
      <c r="F566" s="21" t="str">
        <f>IF(E566="","",IFERROR(INDEX(食材マスタ!$D$10:$D$309,MATCH(E566,食材マスタ!$C$10:$C$309,0)),"※コード未登録"))</f>
        <v/>
      </c>
      <c r="G566" s="16"/>
      <c r="H566" s="8" t="str">
        <f>IF(E566="","",IFERROR(INDEX(食材マスタ!$H$10:$H$309,MATCH(E566,食材マスタ!$C$10:$C$309,0)),""))</f>
        <v/>
      </c>
      <c r="I566" s="15" t="str">
        <f>IF(E566="","",IFERROR(INDEX(食材マスタ!$K$10:$K$309,MATCH(E566,食材マスタ!$C$10:$C$309,0)),""))</f>
        <v/>
      </c>
      <c r="J566" s="15" t="str">
        <f t="shared" si="40"/>
        <v/>
      </c>
      <c r="K566" s="20"/>
      <c r="L566" s="8" t="str">
        <f t="shared" si="41"/>
        <v/>
      </c>
      <c r="M566" s="9"/>
      <c r="N566" s="13" t="str">
        <f t="shared" si="42"/>
        <v/>
      </c>
      <c r="O566" s="22" t="str">
        <f t="shared" ca="1" si="43"/>
        <v/>
      </c>
      <c r="P566" s="17" t="str">
        <f t="shared" si="44"/>
        <v/>
      </c>
      <c r="Q566" s="11"/>
      <c r="R566" s="19"/>
      <c r="S566" s="19"/>
      <c r="U566">
        <f ca="1">IF(AND(ISNUMBER(O566),O566&lt;=設定!$C$4),1,0)</f>
        <v>0</v>
      </c>
      <c r="V566" t="str">
        <f ca="1">IF(U566=1,SUM($U$10:U566),"")</f>
        <v/>
      </c>
    </row>
    <row r="567" spans="2:22">
      <c r="B567" s="8" t="str">
        <f>IF(C567="","",COUNT($C$10:C567))</f>
        <v/>
      </c>
      <c r="C567" s="20"/>
      <c r="D567" s="11"/>
      <c r="E567" s="9"/>
      <c r="F567" s="21" t="str">
        <f>IF(E567="","",IFERROR(INDEX(食材マスタ!$D$10:$D$309,MATCH(E567,食材マスタ!$C$10:$C$309,0)),"※コード未登録"))</f>
        <v/>
      </c>
      <c r="G567" s="16"/>
      <c r="H567" s="8" t="str">
        <f>IF(E567="","",IFERROR(INDEX(食材マスタ!$H$10:$H$309,MATCH(E567,食材マスタ!$C$10:$C$309,0)),""))</f>
        <v/>
      </c>
      <c r="I567" s="15" t="str">
        <f>IF(E567="","",IFERROR(INDEX(食材マスタ!$K$10:$K$309,MATCH(E567,食材マスタ!$C$10:$C$309,0)),""))</f>
        <v/>
      </c>
      <c r="J567" s="15" t="str">
        <f t="shared" si="40"/>
        <v/>
      </c>
      <c r="K567" s="20"/>
      <c r="L567" s="8" t="str">
        <f t="shared" si="41"/>
        <v/>
      </c>
      <c r="M567" s="9"/>
      <c r="N567" s="13" t="str">
        <f t="shared" si="42"/>
        <v/>
      </c>
      <c r="O567" s="22" t="str">
        <f t="shared" ca="1" si="43"/>
        <v/>
      </c>
      <c r="P567" s="17" t="str">
        <f t="shared" si="44"/>
        <v/>
      </c>
      <c r="Q567" s="11"/>
      <c r="R567" s="19"/>
      <c r="S567" s="19"/>
      <c r="U567">
        <f ca="1">IF(AND(ISNUMBER(O567),O567&lt;=設定!$C$4),1,0)</f>
        <v>0</v>
      </c>
      <c r="V567" t="str">
        <f ca="1">IF(U567=1,SUM($U$10:U567),"")</f>
        <v/>
      </c>
    </row>
    <row r="568" spans="2:22">
      <c r="B568" s="8" t="str">
        <f>IF(C568="","",COUNT($C$10:C568))</f>
        <v/>
      </c>
      <c r="C568" s="20"/>
      <c r="D568" s="11"/>
      <c r="E568" s="9"/>
      <c r="F568" s="21" t="str">
        <f>IF(E568="","",IFERROR(INDEX(食材マスタ!$D$10:$D$309,MATCH(E568,食材マスタ!$C$10:$C$309,0)),"※コード未登録"))</f>
        <v/>
      </c>
      <c r="G568" s="16"/>
      <c r="H568" s="8" t="str">
        <f>IF(E568="","",IFERROR(INDEX(食材マスタ!$H$10:$H$309,MATCH(E568,食材マスタ!$C$10:$C$309,0)),""))</f>
        <v/>
      </c>
      <c r="I568" s="15" t="str">
        <f>IF(E568="","",IFERROR(INDEX(食材マスタ!$K$10:$K$309,MATCH(E568,食材マスタ!$C$10:$C$309,0)),""))</f>
        <v/>
      </c>
      <c r="J568" s="15" t="str">
        <f t="shared" si="40"/>
        <v/>
      </c>
      <c r="K568" s="20"/>
      <c r="L568" s="8" t="str">
        <f t="shared" si="41"/>
        <v/>
      </c>
      <c r="M568" s="9"/>
      <c r="N568" s="13" t="str">
        <f t="shared" si="42"/>
        <v/>
      </c>
      <c r="O568" s="22" t="str">
        <f t="shared" ca="1" si="43"/>
        <v/>
      </c>
      <c r="P568" s="17" t="str">
        <f t="shared" si="44"/>
        <v/>
      </c>
      <c r="Q568" s="11"/>
      <c r="R568" s="19"/>
      <c r="S568" s="19"/>
      <c r="U568">
        <f ca="1">IF(AND(ISNUMBER(O568),O568&lt;=設定!$C$4),1,0)</f>
        <v>0</v>
      </c>
      <c r="V568" t="str">
        <f ca="1">IF(U568=1,SUM($U$10:U568),"")</f>
        <v/>
      </c>
    </row>
    <row r="569" spans="2:22">
      <c r="B569" s="8" t="str">
        <f>IF(C569="","",COUNT($C$10:C569))</f>
        <v/>
      </c>
      <c r="C569" s="20"/>
      <c r="D569" s="11"/>
      <c r="E569" s="9"/>
      <c r="F569" s="21" t="str">
        <f>IF(E569="","",IFERROR(INDEX(食材マスタ!$D$10:$D$309,MATCH(E569,食材マスタ!$C$10:$C$309,0)),"※コード未登録"))</f>
        <v/>
      </c>
      <c r="G569" s="16"/>
      <c r="H569" s="8" t="str">
        <f>IF(E569="","",IFERROR(INDEX(食材マスタ!$H$10:$H$309,MATCH(E569,食材マスタ!$C$10:$C$309,0)),""))</f>
        <v/>
      </c>
      <c r="I569" s="15" t="str">
        <f>IF(E569="","",IFERROR(INDEX(食材マスタ!$K$10:$K$309,MATCH(E569,食材マスタ!$C$10:$C$309,0)),""))</f>
        <v/>
      </c>
      <c r="J569" s="15" t="str">
        <f t="shared" si="40"/>
        <v/>
      </c>
      <c r="K569" s="20"/>
      <c r="L569" s="8" t="str">
        <f t="shared" si="41"/>
        <v/>
      </c>
      <c r="M569" s="9"/>
      <c r="N569" s="13" t="str">
        <f t="shared" si="42"/>
        <v/>
      </c>
      <c r="O569" s="22" t="str">
        <f t="shared" ca="1" si="43"/>
        <v/>
      </c>
      <c r="P569" s="17" t="str">
        <f t="shared" si="44"/>
        <v/>
      </c>
      <c r="Q569" s="11"/>
      <c r="R569" s="19"/>
      <c r="S569" s="19"/>
      <c r="U569">
        <f ca="1">IF(AND(ISNUMBER(O569),O569&lt;=設定!$C$4),1,0)</f>
        <v>0</v>
      </c>
      <c r="V569" t="str">
        <f ca="1">IF(U569=1,SUM($U$10:U569),"")</f>
        <v/>
      </c>
    </row>
    <row r="570" spans="2:22">
      <c r="B570" s="8" t="str">
        <f>IF(C570="","",COUNT($C$10:C570))</f>
        <v/>
      </c>
      <c r="C570" s="20"/>
      <c r="D570" s="11"/>
      <c r="E570" s="9"/>
      <c r="F570" s="21" t="str">
        <f>IF(E570="","",IFERROR(INDEX(食材マスタ!$D$10:$D$309,MATCH(E570,食材マスタ!$C$10:$C$309,0)),"※コード未登録"))</f>
        <v/>
      </c>
      <c r="G570" s="16"/>
      <c r="H570" s="8" t="str">
        <f>IF(E570="","",IFERROR(INDEX(食材マスタ!$H$10:$H$309,MATCH(E570,食材マスタ!$C$10:$C$309,0)),""))</f>
        <v/>
      </c>
      <c r="I570" s="15" t="str">
        <f>IF(E570="","",IFERROR(INDEX(食材マスタ!$K$10:$K$309,MATCH(E570,食材マスタ!$C$10:$C$309,0)),""))</f>
        <v/>
      </c>
      <c r="J570" s="15" t="str">
        <f t="shared" si="40"/>
        <v/>
      </c>
      <c r="K570" s="20"/>
      <c r="L570" s="8" t="str">
        <f t="shared" si="41"/>
        <v/>
      </c>
      <c r="M570" s="9"/>
      <c r="N570" s="13" t="str">
        <f t="shared" si="42"/>
        <v/>
      </c>
      <c r="O570" s="22" t="str">
        <f t="shared" ca="1" si="43"/>
        <v/>
      </c>
      <c r="P570" s="17" t="str">
        <f t="shared" si="44"/>
        <v/>
      </c>
      <c r="Q570" s="11"/>
      <c r="R570" s="19"/>
      <c r="S570" s="19"/>
      <c r="U570">
        <f ca="1">IF(AND(ISNUMBER(O570),O570&lt;=設定!$C$4),1,0)</f>
        <v>0</v>
      </c>
      <c r="V570" t="str">
        <f ca="1">IF(U570=1,SUM($U$10:U570),"")</f>
        <v/>
      </c>
    </row>
    <row r="571" spans="2:22">
      <c r="B571" s="8" t="str">
        <f>IF(C571="","",COUNT($C$10:C571))</f>
        <v/>
      </c>
      <c r="C571" s="20"/>
      <c r="D571" s="11"/>
      <c r="E571" s="9"/>
      <c r="F571" s="21" t="str">
        <f>IF(E571="","",IFERROR(INDEX(食材マスタ!$D$10:$D$309,MATCH(E571,食材マスタ!$C$10:$C$309,0)),"※コード未登録"))</f>
        <v/>
      </c>
      <c r="G571" s="16"/>
      <c r="H571" s="8" t="str">
        <f>IF(E571="","",IFERROR(INDEX(食材マスタ!$H$10:$H$309,MATCH(E571,食材マスタ!$C$10:$C$309,0)),""))</f>
        <v/>
      </c>
      <c r="I571" s="15" t="str">
        <f>IF(E571="","",IFERROR(INDEX(食材マスタ!$K$10:$K$309,MATCH(E571,食材マスタ!$C$10:$C$309,0)),""))</f>
        <v/>
      </c>
      <c r="J571" s="15" t="str">
        <f t="shared" si="40"/>
        <v/>
      </c>
      <c r="K571" s="20"/>
      <c r="L571" s="8" t="str">
        <f t="shared" si="41"/>
        <v/>
      </c>
      <c r="M571" s="9"/>
      <c r="N571" s="13" t="str">
        <f t="shared" si="42"/>
        <v/>
      </c>
      <c r="O571" s="22" t="str">
        <f t="shared" ca="1" si="43"/>
        <v/>
      </c>
      <c r="P571" s="17" t="str">
        <f t="shared" si="44"/>
        <v/>
      </c>
      <c r="Q571" s="11"/>
      <c r="R571" s="19"/>
      <c r="S571" s="19"/>
      <c r="U571">
        <f ca="1">IF(AND(ISNUMBER(O571),O571&lt;=設定!$C$4),1,0)</f>
        <v>0</v>
      </c>
      <c r="V571" t="str">
        <f ca="1">IF(U571=1,SUM($U$10:U571),"")</f>
        <v/>
      </c>
    </row>
    <row r="572" spans="2:22">
      <c r="B572" s="8" t="str">
        <f>IF(C572="","",COUNT($C$10:C572))</f>
        <v/>
      </c>
      <c r="C572" s="20"/>
      <c r="D572" s="11"/>
      <c r="E572" s="9"/>
      <c r="F572" s="21" t="str">
        <f>IF(E572="","",IFERROR(INDEX(食材マスタ!$D$10:$D$309,MATCH(E572,食材マスタ!$C$10:$C$309,0)),"※コード未登録"))</f>
        <v/>
      </c>
      <c r="G572" s="16"/>
      <c r="H572" s="8" t="str">
        <f>IF(E572="","",IFERROR(INDEX(食材マスタ!$H$10:$H$309,MATCH(E572,食材マスタ!$C$10:$C$309,0)),""))</f>
        <v/>
      </c>
      <c r="I572" s="15" t="str">
        <f>IF(E572="","",IFERROR(INDEX(食材マスタ!$K$10:$K$309,MATCH(E572,食材マスタ!$C$10:$C$309,0)),""))</f>
        <v/>
      </c>
      <c r="J572" s="15" t="str">
        <f t="shared" si="40"/>
        <v/>
      </c>
      <c r="K572" s="20"/>
      <c r="L572" s="8" t="str">
        <f t="shared" si="41"/>
        <v/>
      </c>
      <c r="M572" s="9"/>
      <c r="N572" s="13" t="str">
        <f t="shared" si="42"/>
        <v/>
      </c>
      <c r="O572" s="22" t="str">
        <f t="shared" ca="1" si="43"/>
        <v/>
      </c>
      <c r="P572" s="17" t="str">
        <f t="shared" si="44"/>
        <v/>
      </c>
      <c r="Q572" s="11"/>
      <c r="R572" s="19"/>
      <c r="S572" s="19"/>
      <c r="U572">
        <f ca="1">IF(AND(ISNUMBER(O572),O572&lt;=設定!$C$4),1,0)</f>
        <v>0</v>
      </c>
      <c r="V572" t="str">
        <f ca="1">IF(U572=1,SUM($U$10:U572),"")</f>
        <v/>
      </c>
    </row>
    <row r="573" spans="2:22">
      <c r="B573" s="8" t="str">
        <f>IF(C573="","",COUNT($C$10:C573))</f>
        <v/>
      </c>
      <c r="C573" s="20"/>
      <c r="D573" s="11"/>
      <c r="E573" s="9"/>
      <c r="F573" s="21" t="str">
        <f>IF(E573="","",IFERROR(INDEX(食材マスタ!$D$10:$D$309,MATCH(E573,食材マスタ!$C$10:$C$309,0)),"※コード未登録"))</f>
        <v/>
      </c>
      <c r="G573" s="16"/>
      <c r="H573" s="8" t="str">
        <f>IF(E573="","",IFERROR(INDEX(食材マスタ!$H$10:$H$309,MATCH(E573,食材マスタ!$C$10:$C$309,0)),""))</f>
        <v/>
      </c>
      <c r="I573" s="15" t="str">
        <f>IF(E573="","",IFERROR(INDEX(食材マスタ!$K$10:$K$309,MATCH(E573,食材マスタ!$C$10:$C$309,0)),""))</f>
        <v/>
      </c>
      <c r="J573" s="15" t="str">
        <f t="shared" si="40"/>
        <v/>
      </c>
      <c r="K573" s="20"/>
      <c r="L573" s="8" t="str">
        <f t="shared" si="41"/>
        <v/>
      </c>
      <c r="M573" s="9"/>
      <c r="N573" s="13" t="str">
        <f t="shared" si="42"/>
        <v/>
      </c>
      <c r="O573" s="22" t="str">
        <f t="shared" ca="1" si="43"/>
        <v/>
      </c>
      <c r="P573" s="17" t="str">
        <f t="shared" si="44"/>
        <v/>
      </c>
      <c r="Q573" s="11"/>
      <c r="R573" s="19"/>
      <c r="S573" s="19"/>
      <c r="U573">
        <f ca="1">IF(AND(ISNUMBER(O573),O573&lt;=設定!$C$4),1,0)</f>
        <v>0</v>
      </c>
      <c r="V573" t="str">
        <f ca="1">IF(U573=1,SUM($U$10:U573),"")</f>
        <v/>
      </c>
    </row>
    <row r="574" spans="2:22">
      <c r="B574" s="8" t="str">
        <f>IF(C574="","",COUNT($C$10:C574))</f>
        <v/>
      </c>
      <c r="C574" s="20"/>
      <c r="D574" s="11"/>
      <c r="E574" s="9"/>
      <c r="F574" s="21" t="str">
        <f>IF(E574="","",IFERROR(INDEX(食材マスタ!$D$10:$D$309,MATCH(E574,食材マスタ!$C$10:$C$309,0)),"※コード未登録"))</f>
        <v/>
      </c>
      <c r="G574" s="16"/>
      <c r="H574" s="8" t="str">
        <f>IF(E574="","",IFERROR(INDEX(食材マスタ!$H$10:$H$309,MATCH(E574,食材マスタ!$C$10:$C$309,0)),""))</f>
        <v/>
      </c>
      <c r="I574" s="15" t="str">
        <f>IF(E574="","",IFERROR(INDEX(食材マスタ!$K$10:$K$309,MATCH(E574,食材マスタ!$C$10:$C$309,0)),""))</f>
        <v/>
      </c>
      <c r="J574" s="15" t="str">
        <f t="shared" si="40"/>
        <v/>
      </c>
      <c r="K574" s="20"/>
      <c r="L574" s="8" t="str">
        <f t="shared" si="41"/>
        <v/>
      </c>
      <c r="M574" s="9"/>
      <c r="N574" s="13" t="str">
        <f t="shared" si="42"/>
        <v/>
      </c>
      <c r="O574" s="22" t="str">
        <f t="shared" ca="1" si="43"/>
        <v/>
      </c>
      <c r="P574" s="17" t="str">
        <f t="shared" si="44"/>
        <v/>
      </c>
      <c r="Q574" s="11"/>
      <c r="R574" s="19"/>
      <c r="S574" s="19"/>
      <c r="U574">
        <f ca="1">IF(AND(ISNUMBER(O574),O574&lt;=設定!$C$4),1,0)</f>
        <v>0</v>
      </c>
      <c r="V574" t="str">
        <f ca="1">IF(U574=1,SUM($U$10:U574),"")</f>
        <v/>
      </c>
    </row>
    <row r="575" spans="2:22">
      <c r="B575" s="8" t="str">
        <f>IF(C575="","",COUNT($C$10:C575))</f>
        <v/>
      </c>
      <c r="C575" s="20"/>
      <c r="D575" s="11"/>
      <c r="E575" s="9"/>
      <c r="F575" s="21" t="str">
        <f>IF(E575="","",IFERROR(INDEX(食材マスタ!$D$10:$D$309,MATCH(E575,食材マスタ!$C$10:$C$309,0)),"※コード未登録"))</f>
        <v/>
      </c>
      <c r="G575" s="16"/>
      <c r="H575" s="8" t="str">
        <f>IF(E575="","",IFERROR(INDEX(食材マスタ!$H$10:$H$309,MATCH(E575,食材マスタ!$C$10:$C$309,0)),""))</f>
        <v/>
      </c>
      <c r="I575" s="15" t="str">
        <f>IF(E575="","",IFERROR(INDEX(食材マスタ!$K$10:$K$309,MATCH(E575,食材マスタ!$C$10:$C$309,0)),""))</f>
        <v/>
      </c>
      <c r="J575" s="15" t="str">
        <f t="shared" si="40"/>
        <v/>
      </c>
      <c r="K575" s="20"/>
      <c r="L575" s="8" t="str">
        <f t="shared" si="41"/>
        <v/>
      </c>
      <c r="M575" s="9"/>
      <c r="N575" s="13" t="str">
        <f t="shared" si="42"/>
        <v/>
      </c>
      <c r="O575" s="22" t="str">
        <f t="shared" ca="1" si="43"/>
        <v/>
      </c>
      <c r="P575" s="17" t="str">
        <f t="shared" si="44"/>
        <v/>
      </c>
      <c r="Q575" s="11"/>
      <c r="R575" s="19"/>
      <c r="S575" s="19"/>
      <c r="U575">
        <f ca="1">IF(AND(ISNUMBER(O575),O575&lt;=設定!$C$4),1,0)</f>
        <v>0</v>
      </c>
      <c r="V575" t="str">
        <f ca="1">IF(U575=1,SUM($U$10:U575),"")</f>
        <v/>
      </c>
    </row>
    <row r="576" spans="2:22">
      <c r="B576" s="8" t="str">
        <f>IF(C576="","",COUNT($C$10:C576))</f>
        <v/>
      </c>
      <c r="C576" s="20"/>
      <c r="D576" s="11"/>
      <c r="E576" s="9"/>
      <c r="F576" s="21" t="str">
        <f>IF(E576="","",IFERROR(INDEX(食材マスタ!$D$10:$D$309,MATCH(E576,食材マスタ!$C$10:$C$309,0)),"※コード未登録"))</f>
        <v/>
      </c>
      <c r="G576" s="16"/>
      <c r="H576" s="8" t="str">
        <f>IF(E576="","",IFERROR(INDEX(食材マスタ!$H$10:$H$309,MATCH(E576,食材マスタ!$C$10:$C$309,0)),""))</f>
        <v/>
      </c>
      <c r="I576" s="15" t="str">
        <f>IF(E576="","",IFERROR(INDEX(食材マスタ!$K$10:$K$309,MATCH(E576,食材マスタ!$C$10:$C$309,0)),""))</f>
        <v/>
      </c>
      <c r="J576" s="15" t="str">
        <f t="shared" si="40"/>
        <v/>
      </c>
      <c r="K576" s="20"/>
      <c r="L576" s="8" t="str">
        <f t="shared" si="41"/>
        <v/>
      </c>
      <c r="M576" s="9"/>
      <c r="N576" s="13" t="str">
        <f t="shared" si="42"/>
        <v/>
      </c>
      <c r="O576" s="22" t="str">
        <f t="shared" ca="1" si="43"/>
        <v/>
      </c>
      <c r="P576" s="17" t="str">
        <f t="shared" si="44"/>
        <v/>
      </c>
      <c r="Q576" s="11"/>
      <c r="R576" s="19"/>
      <c r="S576" s="19"/>
      <c r="U576">
        <f ca="1">IF(AND(ISNUMBER(O576),O576&lt;=設定!$C$4),1,0)</f>
        <v>0</v>
      </c>
      <c r="V576" t="str">
        <f ca="1">IF(U576=1,SUM($U$10:U576),"")</f>
        <v/>
      </c>
    </row>
    <row r="577" spans="2:22">
      <c r="B577" s="8" t="str">
        <f>IF(C577="","",COUNT($C$10:C577))</f>
        <v/>
      </c>
      <c r="C577" s="20"/>
      <c r="D577" s="11"/>
      <c r="E577" s="9"/>
      <c r="F577" s="21" t="str">
        <f>IF(E577="","",IFERROR(INDEX(食材マスタ!$D$10:$D$309,MATCH(E577,食材マスタ!$C$10:$C$309,0)),"※コード未登録"))</f>
        <v/>
      </c>
      <c r="G577" s="16"/>
      <c r="H577" s="8" t="str">
        <f>IF(E577="","",IFERROR(INDEX(食材マスタ!$H$10:$H$309,MATCH(E577,食材マスタ!$C$10:$C$309,0)),""))</f>
        <v/>
      </c>
      <c r="I577" s="15" t="str">
        <f>IF(E577="","",IFERROR(INDEX(食材マスタ!$K$10:$K$309,MATCH(E577,食材マスタ!$C$10:$C$309,0)),""))</f>
        <v/>
      </c>
      <c r="J577" s="15" t="str">
        <f t="shared" si="40"/>
        <v/>
      </c>
      <c r="K577" s="20"/>
      <c r="L577" s="8" t="str">
        <f t="shared" si="41"/>
        <v/>
      </c>
      <c r="M577" s="9"/>
      <c r="N577" s="13" t="str">
        <f t="shared" si="42"/>
        <v/>
      </c>
      <c r="O577" s="22" t="str">
        <f t="shared" ca="1" si="43"/>
        <v/>
      </c>
      <c r="P577" s="17" t="str">
        <f t="shared" si="44"/>
        <v/>
      </c>
      <c r="Q577" s="11"/>
      <c r="R577" s="19"/>
      <c r="S577" s="19"/>
      <c r="U577">
        <f ca="1">IF(AND(ISNUMBER(O577),O577&lt;=設定!$C$4),1,0)</f>
        <v>0</v>
      </c>
      <c r="V577" t="str">
        <f ca="1">IF(U577=1,SUM($U$10:U577),"")</f>
        <v/>
      </c>
    </row>
    <row r="578" spans="2:22">
      <c r="B578" s="8" t="str">
        <f>IF(C578="","",COUNT($C$10:C578))</f>
        <v/>
      </c>
      <c r="C578" s="20"/>
      <c r="D578" s="11"/>
      <c r="E578" s="9"/>
      <c r="F578" s="21" t="str">
        <f>IF(E578="","",IFERROR(INDEX(食材マスタ!$D$10:$D$309,MATCH(E578,食材マスタ!$C$10:$C$309,0)),"※コード未登録"))</f>
        <v/>
      </c>
      <c r="G578" s="16"/>
      <c r="H578" s="8" t="str">
        <f>IF(E578="","",IFERROR(INDEX(食材マスタ!$H$10:$H$309,MATCH(E578,食材マスタ!$C$10:$C$309,0)),""))</f>
        <v/>
      </c>
      <c r="I578" s="15" t="str">
        <f>IF(E578="","",IFERROR(INDEX(食材マスタ!$K$10:$K$309,MATCH(E578,食材マスタ!$C$10:$C$309,0)),""))</f>
        <v/>
      </c>
      <c r="J578" s="15" t="str">
        <f t="shared" si="40"/>
        <v/>
      </c>
      <c r="K578" s="20"/>
      <c r="L578" s="8" t="str">
        <f t="shared" si="41"/>
        <v/>
      </c>
      <c r="M578" s="9"/>
      <c r="N578" s="13" t="str">
        <f t="shared" si="42"/>
        <v/>
      </c>
      <c r="O578" s="22" t="str">
        <f t="shared" ca="1" si="43"/>
        <v/>
      </c>
      <c r="P578" s="17" t="str">
        <f t="shared" si="44"/>
        <v/>
      </c>
      <c r="Q578" s="11"/>
      <c r="R578" s="19"/>
      <c r="S578" s="19"/>
      <c r="U578">
        <f ca="1">IF(AND(ISNUMBER(O578),O578&lt;=設定!$C$4),1,0)</f>
        <v>0</v>
      </c>
      <c r="V578" t="str">
        <f ca="1">IF(U578=1,SUM($U$10:U578),"")</f>
        <v/>
      </c>
    </row>
    <row r="579" spans="2:22">
      <c r="B579" s="8" t="str">
        <f>IF(C579="","",COUNT($C$10:C579))</f>
        <v/>
      </c>
      <c r="C579" s="20"/>
      <c r="D579" s="11"/>
      <c r="E579" s="9"/>
      <c r="F579" s="21" t="str">
        <f>IF(E579="","",IFERROR(INDEX(食材マスタ!$D$10:$D$309,MATCH(E579,食材マスタ!$C$10:$C$309,0)),"※コード未登録"))</f>
        <v/>
      </c>
      <c r="G579" s="16"/>
      <c r="H579" s="8" t="str">
        <f>IF(E579="","",IFERROR(INDEX(食材マスタ!$H$10:$H$309,MATCH(E579,食材マスタ!$C$10:$C$309,0)),""))</f>
        <v/>
      </c>
      <c r="I579" s="15" t="str">
        <f>IF(E579="","",IFERROR(INDEX(食材マスタ!$K$10:$K$309,MATCH(E579,食材マスタ!$C$10:$C$309,0)),""))</f>
        <v/>
      </c>
      <c r="J579" s="15" t="str">
        <f t="shared" si="40"/>
        <v/>
      </c>
      <c r="K579" s="20"/>
      <c r="L579" s="8" t="str">
        <f t="shared" si="41"/>
        <v/>
      </c>
      <c r="M579" s="9"/>
      <c r="N579" s="13" t="str">
        <f t="shared" si="42"/>
        <v/>
      </c>
      <c r="O579" s="22" t="str">
        <f t="shared" ca="1" si="43"/>
        <v/>
      </c>
      <c r="P579" s="17" t="str">
        <f t="shared" si="44"/>
        <v/>
      </c>
      <c r="Q579" s="11"/>
      <c r="R579" s="19"/>
      <c r="S579" s="19"/>
      <c r="U579">
        <f ca="1">IF(AND(ISNUMBER(O579),O579&lt;=設定!$C$4),1,0)</f>
        <v>0</v>
      </c>
      <c r="V579" t="str">
        <f ca="1">IF(U579=1,SUM($U$10:U579),"")</f>
        <v/>
      </c>
    </row>
    <row r="580" spans="2:22">
      <c r="B580" s="8" t="str">
        <f>IF(C580="","",COUNT($C$10:C580))</f>
        <v/>
      </c>
      <c r="C580" s="20"/>
      <c r="D580" s="11"/>
      <c r="E580" s="9"/>
      <c r="F580" s="21" t="str">
        <f>IF(E580="","",IFERROR(INDEX(食材マスタ!$D$10:$D$309,MATCH(E580,食材マスタ!$C$10:$C$309,0)),"※コード未登録"))</f>
        <v/>
      </c>
      <c r="G580" s="16"/>
      <c r="H580" s="8" t="str">
        <f>IF(E580="","",IFERROR(INDEX(食材マスタ!$H$10:$H$309,MATCH(E580,食材マスタ!$C$10:$C$309,0)),""))</f>
        <v/>
      </c>
      <c r="I580" s="15" t="str">
        <f>IF(E580="","",IFERROR(INDEX(食材マスタ!$K$10:$K$309,MATCH(E580,食材マスタ!$C$10:$C$309,0)),""))</f>
        <v/>
      </c>
      <c r="J580" s="15" t="str">
        <f t="shared" si="40"/>
        <v/>
      </c>
      <c r="K580" s="20"/>
      <c r="L580" s="8" t="str">
        <f t="shared" si="41"/>
        <v/>
      </c>
      <c r="M580" s="9"/>
      <c r="N580" s="13" t="str">
        <f t="shared" si="42"/>
        <v/>
      </c>
      <c r="O580" s="22" t="str">
        <f t="shared" ca="1" si="43"/>
        <v/>
      </c>
      <c r="P580" s="17" t="str">
        <f t="shared" si="44"/>
        <v/>
      </c>
      <c r="Q580" s="11"/>
      <c r="R580" s="19"/>
      <c r="S580" s="19"/>
      <c r="U580">
        <f ca="1">IF(AND(ISNUMBER(O580),O580&lt;=設定!$C$4),1,0)</f>
        <v>0</v>
      </c>
      <c r="V580" t="str">
        <f ca="1">IF(U580=1,SUM($U$10:U580),"")</f>
        <v/>
      </c>
    </row>
    <row r="581" spans="2:22">
      <c r="B581" s="8" t="str">
        <f>IF(C581="","",COUNT($C$10:C581))</f>
        <v/>
      </c>
      <c r="C581" s="20"/>
      <c r="D581" s="11"/>
      <c r="E581" s="9"/>
      <c r="F581" s="21" t="str">
        <f>IF(E581="","",IFERROR(INDEX(食材マスタ!$D$10:$D$309,MATCH(E581,食材マスタ!$C$10:$C$309,0)),"※コード未登録"))</f>
        <v/>
      </c>
      <c r="G581" s="16"/>
      <c r="H581" s="8" t="str">
        <f>IF(E581="","",IFERROR(INDEX(食材マスタ!$H$10:$H$309,MATCH(E581,食材マスタ!$C$10:$C$309,0)),""))</f>
        <v/>
      </c>
      <c r="I581" s="15" t="str">
        <f>IF(E581="","",IFERROR(INDEX(食材マスタ!$K$10:$K$309,MATCH(E581,食材マスタ!$C$10:$C$309,0)),""))</f>
        <v/>
      </c>
      <c r="J581" s="15" t="str">
        <f t="shared" si="40"/>
        <v/>
      </c>
      <c r="K581" s="20"/>
      <c r="L581" s="8" t="str">
        <f t="shared" si="41"/>
        <v/>
      </c>
      <c r="M581" s="9"/>
      <c r="N581" s="13" t="str">
        <f t="shared" si="42"/>
        <v/>
      </c>
      <c r="O581" s="22" t="str">
        <f t="shared" ca="1" si="43"/>
        <v/>
      </c>
      <c r="P581" s="17" t="str">
        <f t="shared" si="44"/>
        <v/>
      </c>
      <c r="Q581" s="11"/>
      <c r="R581" s="19"/>
      <c r="S581" s="19"/>
      <c r="U581">
        <f ca="1">IF(AND(ISNUMBER(O581),O581&lt;=設定!$C$4),1,0)</f>
        <v>0</v>
      </c>
      <c r="V581" t="str">
        <f ca="1">IF(U581=1,SUM($U$10:U581),"")</f>
        <v/>
      </c>
    </row>
    <row r="582" spans="2:22">
      <c r="B582" s="8" t="str">
        <f>IF(C582="","",COUNT($C$10:C582))</f>
        <v/>
      </c>
      <c r="C582" s="20"/>
      <c r="D582" s="11"/>
      <c r="E582" s="9"/>
      <c r="F582" s="21" t="str">
        <f>IF(E582="","",IFERROR(INDEX(食材マスタ!$D$10:$D$309,MATCH(E582,食材マスタ!$C$10:$C$309,0)),"※コード未登録"))</f>
        <v/>
      </c>
      <c r="G582" s="16"/>
      <c r="H582" s="8" t="str">
        <f>IF(E582="","",IFERROR(INDEX(食材マスタ!$H$10:$H$309,MATCH(E582,食材マスタ!$C$10:$C$309,0)),""))</f>
        <v/>
      </c>
      <c r="I582" s="15" t="str">
        <f>IF(E582="","",IFERROR(INDEX(食材マスタ!$K$10:$K$309,MATCH(E582,食材マスタ!$C$10:$C$309,0)),""))</f>
        <v/>
      </c>
      <c r="J582" s="15" t="str">
        <f t="shared" si="40"/>
        <v/>
      </c>
      <c r="K582" s="20"/>
      <c r="L582" s="8" t="str">
        <f t="shared" si="41"/>
        <v/>
      </c>
      <c r="M582" s="9"/>
      <c r="N582" s="13" t="str">
        <f t="shared" si="42"/>
        <v/>
      </c>
      <c r="O582" s="22" t="str">
        <f t="shared" ca="1" si="43"/>
        <v/>
      </c>
      <c r="P582" s="17" t="str">
        <f t="shared" si="44"/>
        <v/>
      </c>
      <c r="Q582" s="11"/>
      <c r="R582" s="19"/>
      <c r="S582" s="19"/>
      <c r="U582">
        <f ca="1">IF(AND(ISNUMBER(O582),O582&lt;=設定!$C$4),1,0)</f>
        <v>0</v>
      </c>
      <c r="V582" t="str">
        <f ca="1">IF(U582=1,SUM($U$10:U582),"")</f>
        <v/>
      </c>
    </row>
    <row r="583" spans="2:22">
      <c r="B583" s="8" t="str">
        <f>IF(C583="","",COUNT($C$10:C583))</f>
        <v/>
      </c>
      <c r="C583" s="20"/>
      <c r="D583" s="11"/>
      <c r="E583" s="9"/>
      <c r="F583" s="21" t="str">
        <f>IF(E583="","",IFERROR(INDEX(食材マスタ!$D$10:$D$309,MATCH(E583,食材マスタ!$C$10:$C$309,0)),"※コード未登録"))</f>
        <v/>
      </c>
      <c r="G583" s="16"/>
      <c r="H583" s="8" t="str">
        <f>IF(E583="","",IFERROR(INDEX(食材マスタ!$H$10:$H$309,MATCH(E583,食材マスタ!$C$10:$C$309,0)),""))</f>
        <v/>
      </c>
      <c r="I583" s="15" t="str">
        <f>IF(E583="","",IFERROR(INDEX(食材マスタ!$K$10:$K$309,MATCH(E583,食材マスタ!$C$10:$C$309,0)),""))</f>
        <v/>
      </c>
      <c r="J583" s="15" t="str">
        <f t="shared" si="40"/>
        <v/>
      </c>
      <c r="K583" s="20"/>
      <c r="L583" s="8" t="str">
        <f t="shared" si="41"/>
        <v/>
      </c>
      <c r="M583" s="9"/>
      <c r="N583" s="13" t="str">
        <f t="shared" si="42"/>
        <v/>
      </c>
      <c r="O583" s="22" t="str">
        <f t="shared" ca="1" si="43"/>
        <v/>
      </c>
      <c r="P583" s="17" t="str">
        <f t="shared" si="44"/>
        <v/>
      </c>
      <c r="Q583" s="11"/>
      <c r="R583" s="19"/>
      <c r="S583" s="19"/>
      <c r="U583">
        <f ca="1">IF(AND(ISNUMBER(O583),O583&lt;=設定!$C$4),1,0)</f>
        <v>0</v>
      </c>
      <c r="V583" t="str">
        <f ca="1">IF(U583=1,SUM($U$10:U583),"")</f>
        <v/>
      </c>
    </row>
    <row r="584" spans="2:22">
      <c r="B584" s="8" t="str">
        <f>IF(C584="","",COUNT($C$10:C584))</f>
        <v/>
      </c>
      <c r="C584" s="20"/>
      <c r="D584" s="11"/>
      <c r="E584" s="9"/>
      <c r="F584" s="21" t="str">
        <f>IF(E584="","",IFERROR(INDEX(食材マスタ!$D$10:$D$309,MATCH(E584,食材マスタ!$C$10:$C$309,0)),"※コード未登録"))</f>
        <v/>
      </c>
      <c r="G584" s="16"/>
      <c r="H584" s="8" t="str">
        <f>IF(E584="","",IFERROR(INDEX(食材マスタ!$H$10:$H$309,MATCH(E584,食材マスタ!$C$10:$C$309,0)),""))</f>
        <v/>
      </c>
      <c r="I584" s="15" t="str">
        <f>IF(E584="","",IFERROR(INDEX(食材マスタ!$K$10:$K$309,MATCH(E584,食材マスタ!$C$10:$C$309,0)),""))</f>
        <v/>
      </c>
      <c r="J584" s="15" t="str">
        <f t="shared" si="40"/>
        <v/>
      </c>
      <c r="K584" s="20"/>
      <c r="L584" s="8" t="str">
        <f t="shared" si="41"/>
        <v/>
      </c>
      <c r="M584" s="9"/>
      <c r="N584" s="13" t="str">
        <f t="shared" si="42"/>
        <v/>
      </c>
      <c r="O584" s="22" t="str">
        <f t="shared" ca="1" si="43"/>
        <v/>
      </c>
      <c r="P584" s="17" t="str">
        <f t="shared" si="44"/>
        <v/>
      </c>
      <c r="Q584" s="11"/>
      <c r="R584" s="19"/>
      <c r="S584" s="19"/>
      <c r="U584">
        <f ca="1">IF(AND(ISNUMBER(O584),O584&lt;=設定!$C$4),1,0)</f>
        <v>0</v>
      </c>
      <c r="V584" t="str">
        <f ca="1">IF(U584=1,SUM($U$10:U584),"")</f>
        <v/>
      </c>
    </row>
    <row r="585" spans="2:22">
      <c r="B585" s="8" t="str">
        <f>IF(C585="","",COUNT($C$10:C585))</f>
        <v/>
      </c>
      <c r="C585" s="20"/>
      <c r="D585" s="11"/>
      <c r="E585" s="9"/>
      <c r="F585" s="21" t="str">
        <f>IF(E585="","",IFERROR(INDEX(食材マスタ!$D$10:$D$309,MATCH(E585,食材マスタ!$C$10:$C$309,0)),"※コード未登録"))</f>
        <v/>
      </c>
      <c r="G585" s="16"/>
      <c r="H585" s="8" t="str">
        <f>IF(E585="","",IFERROR(INDEX(食材マスタ!$H$10:$H$309,MATCH(E585,食材マスタ!$C$10:$C$309,0)),""))</f>
        <v/>
      </c>
      <c r="I585" s="15" t="str">
        <f>IF(E585="","",IFERROR(INDEX(食材マスタ!$K$10:$K$309,MATCH(E585,食材マスタ!$C$10:$C$309,0)),""))</f>
        <v/>
      </c>
      <c r="J585" s="15" t="str">
        <f t="shared" si="40"/>
        <v/>
      </c>
      <c r="K585" s="20"/>
      <c r="L585" s="8" t="str">
        <f t="shared" si="41"/>
        <v/>
      </c>
      <c r="M585" s="9"/>
      <c r="N585" s="13" t="str">
        <f t="shared" si="42"/>
        <v/>
      </c>
      <c r="O585" s="22" t="str">
        <f t="shared" ca="1" si="43"/>
        <v/>
      </c>
      <c r="P585" s="17" t="str">
        <f t="shared" si="44"/>
        <v/>
      </c>
      <c r="Q585" s="11"/>
      <c r="R585" s="19"/>
      <c r="S585" s="19"/>
      <c r="U585">
        <f ca="1">IF(AND(ISNUMBER(O585),O585&lt;=設定!$C$4),1,0)</f>
        <v>0</v>
      </c>
      <c r="V585" t="str">
        <f ca="1">IF(U585=1,SUM($U$10:U585),"")</f>
        <v/>
      </c>
    </row>
    <row r="586" spans="2:22">
      <c r="B586" s="8" t="str">
        <f>IF(C586="","",COUNT($C$10:C586))</f>
        <v/>
      </c>
      <c r="C586" s="20"/>
      <c r="D586" s="11"/>
      <c r="E586" s="9"/>
      <c r="F586" s="21" t="str">
        <f>IF(E586="","",IFERROR(INDEX(食材マスタ!$D$10:$D$309,MATCH(E586,食材マスタ!$C$10:$C$309,0)),"※コード未登録"))</f>
        <v/>
      </c>
      <c r="G586" s="16"/>
      <c r="H586" s="8" t="str">
        <f>IF(E586="","",IFERROR(INDEX(食材マスタ!$H$10:$H$309,MATCH(E586,食材マスタ!$C$10:$C$309,0)),""))</f>
        <v/>
      </c>
      <c r="I586" s="15" t="str">
        <f>IF(E586="","",IFERROR(INDEX(食材マスタ!$K$10:$K$309,MATCH(E586,食材マスタ!$C$10:$C$309,0)),""))</f>
        <v/>
      </c>
      <c r="J586" s="15" t="str">
        <f t="shared" ref="J586:J649" si="45">IF(OR(G586="",I586=""),"",ROUND(ABS(G586)*I586,0))</f>
        <v/>
      </c>
      <c r="K586" s="20"/>
      <c r="L586" s="8" t="str">
        <f t="shared" ref="L586:L649" si="46">IF(AND(D586="入庫",E586&lt;&gt;""),E586&amp;"-"&amp;TEXT(ROW()-9,"0000"),"")</f>
        <v/>
      </c>
      <c r="M586" s="9"/>
      <c r="N586" s="13" t="str">
        <f t="shared" ref="N586:N649" si="47">IF(L586="","",G586-SUMIFS($G$10:$G$1009,$M$10:$M$1009,L586,$D$10:$D$1009,"出庫")-SUMIFS($G$10:$G$1009,$M$10:$M$1009,L586,$D$10:$D$1009,"廃棄")+SUMIFS($G$10:$G$1009,$M$10:$M$1009,L586,$D$10:$D$1009,"棚卸調整"))</f>
        <v/>
      </c>
      <c r="O586" s="22" t="str">
        <f t="shared" ref="O586:O649" ca="1" si="48">IF(OR(L586="",K586=""),"",IF(N586&lt;=0,"",K586-TODAY()))</f>
        <v/>
      </c>
      <c r="P586" s="17" t="str">
        <f t="shared" ref="P586:P649" si="49">IF(E586="","",IF(F586="※コード未登録","コード未登録",IF(AND(OR(D586="出庫",D586="廃棄"),M586=""),"ロット未指定",IF(AND(M586&lt;&gt;"",LEFT(M586,LEN(E586)+1)&lt;&gt;E586&amp;"-"),"ロット違い",IF(AND(L586&lt;&gt;"",N586&lt;0),"ロット残マイナス","")))))</f>
        <v/>
      </c>
      <c r="Q586" s="11"/>
      <c r="R586" s="19"/>
      <c r="S586" s="19"/>
      <c r="U586">
        <f ca="1">IF(AND(ISNUMBER(O586),O586&lt;=設定!$C$4),1,0)</f>
        <v>0</v>
      </c>
      <c r="V586" t="str">
        <f ca="1">IF(U586=1,SUM($U$10:U586),"")</f>
        <v/>
      </c>
    </row>
    <row r="587" spans="2:22">
      <c r="B587" s="8" t="str">
        <f>IF(C587="","",COUNT($C$10:C587))</f>
        <v/>
      </c>
      <c r="C587" s="20"/>
      <c r="D587" s="11"/>
      <c r="E587" s="9"/>
      <c r="F587" s="21" t="str">
        <f>IF(E587="","",IFERROR(INDEX(食材マスタ!$D$10:$D$309,MATCH(E587,食材マスタ!$C$10:$C$309,0)),"※コード未登録"))</f>
        <v/>
      </c>
      <c r="G587" s="16"/>
      <c r="H587" s="8" t="str">
        <f>IF(E587="","",IFERROR(INDEX(食材マスタ!$H$10:$H$309,MATCH(E587,食材マスタ!$C$10:$C$309,0)),""))</f>
        <v/>
      </c>
      <c r="I587" s="15" t="str">
        <f>IF(E587="","",IFERROR(INDEX(食材マスタ!$K$10:$K$309,MATCH(E587,食材マスタ!$C$10:$C$309,0)),""))</f>
        <v/>
      </c>
      <c r="J587" s="15" t="str">
        <f t="shared" si="45"/>
        <v/>
      </c>
      <c r="K587" s="20"/>
      <c r="L587" s="8" t="str">
        <f t="shared" si="46"/>
        <v/>
      </c>
      <c r="M587" s="9"/>
      <c r="N587" s="13" t="str">
        <f t="shared" si="47"/>
        <v/>
      </c>
      <c r="O587" s="22" t="str">
        <f t="shared" ca="1" si="48"/>
        <v/>
      </c>
      <c r="P587" s="17" t="str">
        <f t="shared" si="49"/>
        <v/>
      </c>
      <c r="Q587" s="11"/>
      <c r="R587" s="19"/>
      <c r="S587" s="19"/>
      <c r="U587">
        <f ca="1">IF(AND(ISNUMBER(O587),O587&lt;=設定!$C$4),1,0)</f>
        <v>0</v>
      </c>
      <c r="V587" t="str">
        <f ca="1">IF(U587=1,SUM($U$10:U587),"")</f>
        <v/>
      </c>
    </row>
    <row r="588" spans="2:22">
      <c r="B588" s="8" t="str">
        <f>IF(C588="","",COUNT($C$10:C588))</f>
        <v/>
      </c>
      <c r="C588" s="20"/>
      <c r="D588" s="11"/>
      <c r="E588" s="9"/>
      <c r="F588" s="21" t="str">
        <f>IF(E588="","",IFERROR(INDEX(食材マスタ!$D$10:$D$309,MATCH(E588,食材マスタ!$C$10:$C$309,0)),"※コード未登録"))</f>
        <v/>
      </c>
      <c r="G588" s="16"/>
      <c r="H588" s="8" t="str">
        <f>IF(E588="","",IFERROR(INDEX(食材マスタ!$H$10:$H$309,MATCH(E588,食材マスタ!$C$10:$C$309,0)),""))</f>
        <v/>
      </c>
      <c r="I588" s="15" t="str">
        <f>IF(E588="","",IFERROR(INDEX(食材マスタ!$K$10:$K$309,MATCH(E588,食材マスタ!$C$10:$C$309,0)),""))</f>
        <v/>
      </c>
      <c r="J588" s="15" t="str">
        <f t="shared" si="45"/>
        <v/>
      </c>
      <c r="K588" s="20"/>
      <c r="L588" s="8" t="str">
        <f t="shared" si="46"/>
        <v/>
      </c>
      <c r="M588" s="9"/>
      <c r="N588" s="13" t="str">
        <f t="shared" si="47"/>
        <v/>
      </c>
      <c r="O588" s="22" t="str">
        <f t="shared" ca="1" si="48"/>
        <v/>
      </c>
      <c r="P588" s="17" t="str">
        <f t="shared" si="49"/>
        <v/>
      </c>
      <c r="Q588" s="11"/>
      <c r="R588" s="19"/>
      <c r="S588" s="19"/>
      <c r="U588">
        <f ca="1">IF(AND(ISNUMBER(O588),O588&lt;=設定!$C$4),1,0)</f>
        <v>0</v>
      </c>
      <c r="V588" t="str">
        <f ca="1">IF(U588=1,SUM($U$10:U588),"")</f>
        <v/>
      </c>
    </row>
    <row r="589" spans="2:22">
      <c r="B589" s="8" t="str">
        <f>IF(C589="","",COUNT($C$10:C589))</f>
        <v/>
      </c>
      <c r="C589" s="20"/>
      <c r="D589" s="11"/>
      <c r="E589" s="9"/>
      <c r="F589" s="21" t="str">
        <f>IF(E589="","",IFERROR(INDEX(食材マスタ!$D$10:$D$309,MATCH(E589,食材マスタ!$C$10:$C$309,0)),"※コード未登録"))</f>
        <v/>
      </c>
      <c r="G589" s="16"/>
      <c r="H589" s="8" t="str">
        <f>IF(E589="","",IFERROR(INDEX(食材マスタ!$H$10:$H$309,MATCH(E589,食材マスタ!$C$10:$C$309,0)),""))</f>
        <v/>
      </c>
      <c r="I589" s="15" t="str">
        <f>IF(E589="","",IFERROR(INDEX(食材マスタ!$K$10:$K$309,MATCH(E589,食材マスタ!$C$10:$C$309,0)),""))</f>
        <v/>
      </c>
      <c r="J589" s="15" t="str">
        <f t="shared" si="45"/>
        <v/>
      </c>
      <c r="K589" s="20"/>
      <c r="L589" s="8" t="str">
        <f t="shared" si="46"/>
        <v/>
      </c>
      <c r="M589" s="9"/>
      <c r="N589" s="13" t="str">
        <f t="shared" si="47"/>
        <v/>
      </c>
      <c r="O589" s="22" t="str">
        <f t="shared" ca="1" si="48"/>
        <v/>
      </c>
      <c r="P589" s="17" t="str">
        <f t="shared" si="49"/>
        <v/>
      </c>
      <c r="Q589" s="11"/>
      <c r="R589" s="19"/>
      <c r="S589" s="19"/>
      <c r="U589">
        <f ca="1">IF(AND(ISNUMBER(O589),O589&lt;=設定!$C$4),1,0)</f>
        <v>0</v>
      </c>
      <c r="V589" t="str">
        <f ca="1">IF(U589=1,SUM($U$10:U589),"")</f>
        <v/>
      </c>
    </row>
    <row r="590" spans="2:22">
      <c r="B590" s="8" t="str">
        <f>IF(C590="","",COUNT($C$10:C590))</f>
        <v/>
      </c>
      <c r="C590" s="20"/>
      <c r="D590" s="11"/>
      <c r="E590" s="9"/>
      <c r="F590" s="21" t="str">
        <f>IF(E590="","",IFERROR(INDEX(食材マスタ!$D$10:$D$309,MATCH(E590,食材マスタ!$C$10:$C$309,0)),"※コード未登録"))</f>
        <v/>
      </c>
      <c r="G590" s="16"/>
      <c r="H590" s="8" t="str">
        <f>IF(E590="","",IFERROR(INDEX(食材マスタ!$H$10:$H$309,MATCH(E590,食材マスタ!$C$10:$C$309,0)),""))</f>
        <v/>
      </c>
      <c r="I590" s="15" t="str">
        <f>IF(E590="","",IFERROR(INDEX(食材マスタ!$K$10:$K$309,MATCH(E590,食材マスタ!$C$10:$C$309,0)),""))</f>
        <v/>
      </c>
      <c r="J590" s="15" t="str">
        <f t="shared" si="45"/>
        <v/>
      </c>
      <c r="K590" s="20"/>
      <c r="L590" s="8" t="str">
        <f t="shared" si="46"/>
        <v/>
      </c>
      <c r="M590" s="9"/>
      <c r="N590" s="13" t="str">
        <f t="shared" si="47"/>
        <v/>
      </c>
      <c r="O590" s="22" t="str">
        <f t="shared" ca="1" si="48"/>
        <v/>
      </c>
      <c r="P590" s="17" t="str">
        <f t="shared" si="49"/>
        <v/>
      </c>
      <c r="Q590" s="11"/>
      <c r="R590" s="19"/>
      <c r="S590" s="19"/>
      <c r="U590">
        <f ca="1">IF(AND(ISNUMBER(O590),O590&lt;=設定!$C$4),1,0)</f>
        <v>0</v>
      </c>
      <c r="V590" t="str">
        <f ca="1">IF(U590=1,SUM($U$10:U590),"")</f>
        <v/>
      </c>
    </row>
    <row r="591" spans="2:22">
      <c r="B591" s="8" t="str">
        <f>IF(C591="","",COUNT($C$10:C591))</f>
        <v/>
      </c>
      <c r="C591" s="20"/>
      <c r="D591" s="11"/>
      <c r="E591" s="9"/>
      <c r="F591" s="21" t="str">
        <f>IF(E591="","",IFERROR(INDEX(食材マスタ!$D$10:$D$309,MATCH(E591,食材マスタ!$C$10:$C$309,0)),"※コード未登録"))</f>
        <v/>
      </c>
      <c r="G591" s="16"/>
      <c r="H591" s="8" t="str">
        <f>IF(E591="","",IFERROR(INDEX(食材マスタ!$H$10:$H$309,MATCH(E591,食材マスタ!$C$10:$C$309,0)),""))</f>
        <v/>
      </c>
      <c r="I591" s="15" t="str">
        <f>IF(E591="","",IFERROR(INDEX(食材マスタ!$K$10:$K$309,MATCH(E591,食材マスタ!$C$10:$C$309,0)),""))</f>
        <v/>
      </c>
      <c r="J591" s="15" t="str">
        <f t="shared" si="45"/>
        <v/>
      </c>
      <c r="K591" s="20"/>
      <c r="L591" s="8" t="str">
        <f t="shared" si="46"/>
        <v/>
      </c>
      <c r="M591" s="9"/>
      <c r="N591" s="13" t="str">
        <f t="shared" si="47"/>
        <v/>
      </c>
      <c r="O591" s="22" t="str">
        <f t="shared" ca="1" si="48"/>
        <v/>
      </c>
      <c r="P591" s="17" t="str">
        <f t="shared" si="49"/>
        <v/>
      </c>
      <c r="Q591" s="11"/>
      <c r="R591" s="19"/>
      <c r="S591" s="19"/>
      <c r="U591">
        <f ca="1">IF(AND(ISNUMBER(O591),O591&lt;=設定!$C$4),1,0)</f>
        <v>0</v>
      </c>
      <c r="V591" t="str">
        <f ca="1">IF(U591=1,SUM($U$10:U591),"")</f>
        <v/>
      </c>
    </row>
    <row r="592" spans="2:22">
      <c r="B592" s="8" t="str">
        <f>IF(C592="","",COUNT($C$10:C592))</f>
        <v/>
      </c>
      <c r="C592" s="20"/>
      <c r="D592" s="11"/>
      <c r="E592" s="9"/>
      <c r="F592" s="21" t="str">
        <f>IF(E592="","",IFERROR(INDEX(食材マスタ!$D$10:$D$309,MATCH(E592,食材マスタ!$C$10:$C$309,0)),"※コード未登録"))</f>
        <v/>
      </c>
      <c r="G592" s="16"/>
      <c r="H592" s="8" t="str">
        <f>IF(E592="","",IFERROR(INDEX(食材マスタ!$H$10:$H$309,MATCH(E592,食材マスタ!$C$10:$C$309,0)),""))</f>
        <v/>
      </c>
      <c r="I592" s="15" t="str">
        <f>IF(E592="","",IFERROR(INDEX(食材マスタ!$K$10:$K$309,MATCH(E592,食材マスタ!$C$10:$C$309,0)),""))</f>
        <v/>
      </c>
      <c r="J592" s="15" t="str">
        <f t="shared" si="45"/>
        <v/>
      </c>
      <c r="K592" s="20"/>
      <c r="L592" s="8" t="str">
        <f t="shared" si="46"/>
        <v/>
      </c>
      <c r="M592" s="9"/>
      <c r="N592" s="13" t="str">
        <f t="shared" si="47"/>
        <v/>
      </c>
      <c r="O592" s="22" t="str">
        <f t="shared" ca="1" si="48"/>
        <v/>
      </c>
      <c r="P592" s="17" t="str">
        <f t="shared" si="49"/>
        <v/>
      </c>
      <c r="Q592" s="11"/>
      <c r="R592" s="19"/>
      <c r="S592" s="19"/>
      <c r="U592">
        <f ca="1">IF(AND(ISNUMBER(O592),O592&lt;=設定!$C$4),1,0)</f>
        <v>0</v>
      </c>
      <c r="V592" t="str">
        <f ca="1">IF(U592=1,SUM($U$10:U592),"")</f>
        <v/>
      </c>
    </row>
    <row r="593" spans="2:22">
      <c r="B593" s="8" t="str">
        <f>IF(C593="","",COUNT($C$10:C593))</f>
        <v/>
      </c>
      <c r="C593" s="20"/>
      <c r="D593" s="11"/>
      <c r="E593" s="9"/>
      <c r="F593" s="21" t="str">
        <f>IF(E593="","",IFERROR(INDEX(食材マスタ!$D$10:$D$309,MATCH(E593,食材マスタ!$C$10:$C$309,0)),"※コード未登録"))</f>
        <v/>
      </c>
      <c r="G593" s="16"/>
      <c r="H593" s="8" t="str">
        <f>IF(E593="","",IFERROR(INDEX(食材マスタ!$H$10:$H$309,MATCH(E593,食材マスタ!$C$10:$C$309,0)),""))</f>
        <v/>
      </c>
      <c r="I593" s="15" t="str">
        <f>IF(E593="","",IFERROR(INDEX(食材マスタ!$K$10:$K$309,MATCH(E593,食材マスタ!$C$10:$C$309,0)),""))</f>
        <v/>
      </c>
      <c r="J593" s="15" t="str">
        <f t="shared" si="45"/>
        <v/>
      </c>
      <c r="K593" s="20"/>
      <c r="L593" s="8" t="str">
        <f t="shared" si="46"/>
        <v/>
      </c>
      <c r="M593" s="9"/>
      <c r="N593" s="13" t="str">
        <f t="shared" si="47"/>
        <v/>
      </c>
      <c r="O593" s="22" t="str">
        <f t="shared" ca="1" si="48"/>
        <v/>
      </c>
      <c r="P593" s="17" t="str">
        <f t="shared" si="49"/>
        <v/>
      </c>
      <c r="Q593" s="11"/>
      <c r="R593" s="19"/>
      <c r="S593" s="19"/>
      <c r="U593">
        <f ca="1">IF(AND(ISNUMBER(O593),O593&lt;=設定!$C$4),1,0)</f>
        <v>0</v>
      </c>
      <c r="V593" t="str">
        <f ca="1">IF(U593=1,SUM($U$10:U593),"")</f>
        <v/>
      </c>
    </row>
    <row r="594" spans="2:22">
      <c r="B594" s="8" t="str">
        <f>IF(C594="","",COUNT($C$10:C594))</f>
        <v/>
      </c>
      <c r="C594" s="20"/>
      <c r="D594" s="11"/>
      <c r="E594" s="9"/>
      <c r="F594" s="21" t="str">
        <f>IF(E594="","",IFERROR(INDEX(食材マスタ!$D$10:$D$309,MATCH(E594,食材マスタ!$C$10:$C$309,0)),"※コード未登録"))</f>
        <v/>
      </c>
      <c r="G594" s="16"/>
      <c r="H594" s="8" t="str">
        <f>IF(E594="","",IFERROR(INDEX(食材マスタ!$H$10:$H$309,MATCH(E594,食材マスタ!$C$10:$C$309,0)),""))</f>
        <v/>
      </c>
      <c r="I594" s="15" t="str">
        <f>IF(E594="","",IFERROR(INDEX(食材マスタ!$K$10:$K$309,MATCH(E594,食材マスタ!$C$10:$C$309,0)),""))</f>
        <v/>
      </c>
      <c r="J594" s="15" t="str">
        <f t="shared" si="45"/>
        <v/>
      </c>
      <c r="K594" s="20"/>
      <c r="L594" s="8" t="str">
        <f t="shared" si="46"/>
        <v/>
      </c>
      <c r="M594" s="9"/>
      <c r="N594" s="13" t="str">
        <f t="shared" si="47"/>
        <v/>
      </c>
      <c r="O594" s="22" t="str">
        <f t="shared" ca="1" si="48"/>
        <v/>
      </c>
      <c r="P594" s="17" t="str">
        <f t="shared" si="49"/>
        <v/>
      </c>
      <c r="Q594" s="11"/>
      <c r="R594" s="19"/>
      <c r="S594" s="19"/>
      <c r="U594">
        <f ca="1">IF(AND(ISNUMBER(O594),O594&lt;=設定!$C$4),1,0)</f>
        <v>0</v>
      </c>
      <c r="V594" t="str">
        <f ca="1">IF(U594=1,SUM($U$10:U594),"")</f>
        <v/>
      </c>
    </row>
    <row r="595" spans="2:22">
      <c r="B595" s="8" t="str">
        <f>IF(C595="","",COUNT($C$10:C595))</f>
        <v/>
      </c>
      <c r="C595" s="20"/>
      <c r="D595" s="11"/>
      <c r="E595" s="9"/>
      <c r="F595" s="21" t="str">
        <f>IF(E595="","",IFERROR(INDEX(食材マスタ!$D$10:$D$309,MATCH(E595,食材マスタ!$C$10:$C$309,0)),"※コード未登録"))</f>
        <v/>
      </c>
      <c r="G595" s="16"/>
      <c r="H595" s="8" t="str">
        <f>IF(E595="","",IFERROR(INDEX(食材マスタ!$H$10:$H$309,MATCH(E595,食材マスタ!$C$10:$C$309,0)),""))</f>
        <v/>
      </c>
      <c r="I595" s="15" t="str">
        <f>IF(E595="","",IFERROR(INDEX(食材マスタ!$K$10:$K$309,MATCH(E595,食材マスタ!$C$10:$C$309,0)),""))</f>
        <v/>
      </c>
      <c r="J595" s="15" t="str">
        <f t="shared" si="45"/>
        <v/>
      </c>
      <c r="K595" s="20"/>
      <c r="L595" s="8" t="str">
        <f t="shared" si="46"/>
        <v/>
      </c>
      <c r="M595" s="9"/>
      <c r="N595" s="13" t="str">
        <f t="shared" si="47"/>
        <v/>
      </c>
      <c r="O595" s="22" t="str">
        <f t="shared" ca="1" si="48"/>
        <v/>
      </c>
      <c r="P595" s="17" t="str">
        <f t="shared" si="49"/>
        <v/>
      </c>
      <c r="Q595" s="11"/>
      <c r="R595" s="19"/>
      <c r="S595" s="19"/>
      <c r="U595">
        <f ca="1">IF(AND(ISNUMBER(O595),O595&lt;=設定!$C$4),1,0)</f>
        <v>0</v>
      </c>
      <c r="V595" t="str">
        <f ca="1">IF(U595=1,SUM($U$10:U595),"")</f>
        <v/>
      </c>
    </row>
    <row r="596" spans="2:22">
      <c r="B596" s="8" t="str">
        <f>IF(C596="","",COUNT($C$10:C596))</f>
        <v/>
      </c>
      <c r="C596" s="20"/>
      <c r="D596" s="11"/>
      <c r="E596" s="9"/>
      <c r="F596" s="21" t="str">
        <f>IF(E596="","",IFERROR(INDEX(食材マスタ!$D$10:$D$309,MATCH(E596,食材マスタ!$C$10:$C$309,0)),"※コード未登録"))</f>
        <v/>
      </c>
      <c r="G596" s="16"/>
      <c r="H596" s="8" t="str">
        <f>IF(E596="","",IFERROR(INDEX(食材マスタ!$H$10:$H$309,MATCH(E596,食材マスタ!$C$10:$C$309,0)),""))</f>
        <v/>
      </c>
      <c r="I596" s="15" t="str">
        <f>IF(E596="","",IFERROR(INDEX(食材マスタ!$K$10:$K$309,MATCH(E596,食材マスタ!$C$10:$C$309,0)),""))</f>
        <v/>
      </c>
      <c r="J596" s="15" t="str">
        <f t="shared" si="45"/>
        <v/>
      </c>
      <c r="K596" s="20"/>
      <c r="L596" s="8" t="str">
        <f t="shared" si="46"/>
        <v/>
      </c>
      <c r="M596" s="9"/>
      <c r="N596" s="13" t="str">
        <f t="shared" si="47"/>
        <v/>
      </c>
      <c r="O596" s="22" t="str">
        <f t="shared" ca="1" si="48"/>
        <v/>
      </c>
      <c r="P596" s="17" t="str">
        <f t="shared" si="49"/>
        <v/>
      </c>
      <c r="Q596" s="11"/>
      <c r="R596" s="19"/>
      <c r="S596" s="19"/>
      <c r="U596">
        <f ca="1">IF(AND(ISNUMBER(O596),O596&lt;=設定!$C$4),1,0)</f>
        <v>0</v>
      </c>
      <c r="V596" t="str">
        <f ca="1">IF(U596=1,SUM($U$10:U596),"")</f>
        <v/>
      </c>
    </row>
    <row r="597" spans="2:22">
      <c r="B597" s="8" t="str">
        <f>IF(C597="","",COUNT($C$10:C597))</f>
        <v/>
      </c>
      <c r="C597" s="20"/>
      <c r="D597" s="11"/>
      <c r="E597" s="9"/>
      <c r="F597" s="21" t="str">
        <f>IF(E597="","",IFERROR(INDEX(食材マスタ!$D$10:$D$309,MATCH(E597,食材マスタ!$C$10:$C$309,0)),"※コード未登録"))</f>
        <v/>
      </c>
      <c r="G597" s="16"/>
      <c r="H597" s="8" t="str">
        <f>IF(E597="","",IFERROR(INDEX(食材マスタ!$H$10:$H$309,MATCH(E597,食材マスタ!$C$10:$C$309,0)),""))</f>
        <v/>
      </c>
      <c r="I597" s="15" t="str">
        <f>IF(E597="","",IFERROR(INDEX(食材マスタ!$K$10:$K$309,MATCH(E597,食材マスタ!$C$10:$C$309,0)),""))</f>
        <v/>
      </c>
      <c r="J597" s="15" t="str">
        <f t="shared" si="45"/>
        <v/>
      </c>
      <c r="K597" s="20"/>
      <c r="L597" s="8" t="str">
        <f t="shared" si="46"/>
        <v/>
      </c>
      <c r="M597" s="9"/>
      <c r="N597" s="13" t="str">
        <f t="shared" si="47"/>
        <v/>
      </c>
      <c r="O597" s="22" t="str">
        <f t="shared" ca="1" si="48"/>
        <v/>
      </c>
      <c r="P597" s="17" t="str">
        <f t="shared" si="49"/>
        <v/>
      </c>
      <c r="Q597" s="11"/>
      <c r="R597" s="19"/>
      <c r="S597" s="19"/>
      <c r="U597">
        <f ca="1">IF(AND(ISNUMBER(O597),O597&lt;=設定!$C$4),1,0)</f>
        <v>0</v>
      </c>
      <c r="V597" t="str">
        <f ca="1">IF(U597=1,SUM($U$10:U597),"")</f>
        <v/>
      </c>
    </row>
    <row r="598" spans="2:22">
      <c r="B598" s="8" t="str">
        <f>IF(C598="","",COUNT($C$10:C598))</f>
        <v/>
      </c>
      <c r="C598" s="20"/>
      <c r="D598" s="11"/>
      <c r="E598" s="9"/>
      <c r="F598" s="21" t="str">
        <f>IF(E598="","",IFERROR(INDEX(食材マスタ!$D$10:$D$309,MATCH(E598,食材マスタ!$C$10:$C$309,0)),"※コード未登録"))</f>
        <v/>
      </c>
      <c r="G598" s="16"/>
      <c r="H598" s="8" t="str">
        <f>IF(E598="","",IFERROR(INDEX(食材マスタ!$H$10:$H$309,MATCH(E598,食材マスタ!$C$10:$C$309,0)),""))</f>
        <v/>
      </c>
      <c r="I598" s="15" t="str">
        <f>IF(E598="","",IFERROR(INDEX(食材マスタ!$K$10:$K$309,MATCH(E598,食材マスタ!$C$10:$C$309,0)),""))</f>
        <v/>
      </c>
      <c r="J598" s="15" t="str">
        <f t="shared" si="45"/>
        <v/>
      </c>
      <c r="K598" s="20"/>
      <c r="L598" s="8" t="str">
        <f t="shared" si="46"/>
        <v/>
      </c>
      <c r="M598" s="9"/>
      <c r="N598" s="13" t="str">
        <f t="shared" si="47"/>
        <v/>
      </c>
      <c r="O598" s="22" t="str">
        <f t="shared" ca="1" si="48"/>
        <v/>
      </c>
      <c r="P598" s="17" t="str">
        <f t="shared" si="49"/>
        <v/>
      </c>
      <c r="Q598" s="11"/>
      <c r="R598" s="19"/>
      <c r="S598" s="19"/>
      <c r="U598">
        <f ca="1">IF(AND(ISNUMBER(O598),O598&lt;=設定!$C$4),1,0)</f>
        <v>0</v>
      </c>
      <c r="V598" t="str">
        <f ca="1">IF(U598=1,SUM($U$10:U598),"")</f>
        <v/>
      </c>
    </row>
    <row r="599" spans="2:22">
      <c r="B599" s="8" t="str">
        <f>IF(C599="","",COUNT($C$10:C599))</f>
        <v/>
      </c>
      <c r="C599" s="20"/>
      <c r="D599" s="11"/>
      <c r="E599" s="9"/>
      <c r="F599" s="21" t="str">
        <f>IF(E599="","",IFERROR(INDEX(食材マスタ!$D$10:$D$309,MATCH(E599,食材マスタ!$C$10:$C$309,0)),"※コード未登録"))</f>
        <v/>
      </c>
      <c r="G599" s="16"/>
      <c r="H599" s="8" t="str">
        <f>IF(E599="","",IFERROR(INDEX(食材マスタ!$H$10:$H$309,MATCH(E599,食材マスタ!$C$10:$C$309,0)),""))</f>
        <v/>
      </c>
      <c r="I599" s="15" t="str">
        <f>IF(E599="","",IFERROR(INDEX(食材マスタ!$K$10:$K$309,MATCH(E599,食材マスタ!$C$10:$C$309,0)),""))</f>
        <v/>
      </c>
      <c r="J599" s="15" t="str">
        <f t="shared" si="45"/>
        <v/>
      </c>
      <c r="K599" s="20"/>
      <c r="L599" s="8" t="str">
        <f t="shared" si="46"/>
        <v/>
      </c>
      <c r="M599" s="9"/>
      <c r="N599" s="13" t="str">
        <f t="shared" si="47"/>
        <v/>
      </c>
      <c r="O599" s="22" t="str">
        <f t="shared" ca="1" si="48"/>
        <v/>
      </c>
      <c r="P599" s="17" t="str">
        <f t="shared" si="49"/>
        <v/>
      </c>
      <c r="Q599" s="11"/>
      <c r="R599" s="19"/>
      <c r="S599" s="19"/>
      <c r="U599">
        <f ca="1">IF(AND(ISNUMBER(O599),O599&lt;=設定!$C$4),1,0)</f>
        <v>0</v>
      </c>
      <c r="V599" t="str">
        <f ca="1">IF(U599=1,SUM($U$10:U599),"")</f>
        <v/>
      </c>
    </row>
    <row r="600" spans="2:22">
      <c r="B600" s="8" t="str">
        <f>IF(C600="","",COUNT($C$10:C600))</f>
        <v/>
      </c>
      <c r="C600" s="20"/>
      <c r="D600" s="11"/>
      <c r="E600" s="9"/>
      <c r="F600" s="21" t="str">
        <f>IF(E600="","",IFERROR(INDEX(食材マスタ!$D$10:$D$309,MATCH(E600,食材マスタ!$C$10:$C$309,0)),"※コード未登録"))</f>
        <v/>
      </c>
      <c r="G600" s="16"/>
      <c r="H600" s="8" t="str">
        <f>IF(E600="","",IFERROR(INDEX(食材マスタ!$H$10:$H$309,MATCH(E600,食材マスタ!$C$10:$C$309,0)),""))</f>
        <v/>
      </c>
      <c r="I600" s="15" t="str">
        <f>IF(E600="","",IFERROR(INDEX(食材マスタ!$K$10:$K$309,MATCH(E600,食材マスタ!$C$10:$C$309,0)),""))</f>
        <v/>
      </c>
      <c r="J600" s="15" t="str">
        <f t="shared" si="45"/>
        <v/>
      </c>
      <c r="K600" s="20"/>
      <c r="L600" s="8" t="str">
        <f t="shared" si="46"/>
        <v/>
      </c>
      <c r="M600" s="9"/>
      <c r="N600" s="13" t="str">
        <f t="shared" si="47"/>
        <v/>
      </c>
      <c r="O600" s="22" t="str">
        <f t="shared" ca="1" si="48"/>
        <v/>
      </c>
      <c r="P600" s="17" t="str">
        <f t="shared" si="49"/>
        <v/>
      </c>
      <c r="Q600" s="11"/>
      <c r="R600" s="19"/>
      <c r="S600" s="19"/>
      <c r="U600">
        <f ca="1">IF(AND(ISNUMBER(O600),O600&lt;=設定!$C$4),1,0)</f>
        <v>0</v>
      </c>
      <c r="V600" t="str">
        <f ca="1">IF(U600=1,SUM($U$10:U600),"")</f>
        <v/>
      </c>
    </row>
    <row r="601" spans="2:22">
      <c r="B601" s="8" t="str">
        <f>IF(C601="","",COUNT($C$10:C601))</f>
        <v/>
      </c>
      <c r="C601" s="20"/>
      <c r="D601" s="11"/>
      <c r="E601" s="9"/>
      <c r="F601" s="21" t="str">
        <f>IF(E601="","",IFERROR(INDEX(食材マスタ!$D$10:$D$309,MATCH(E601,食材マスタ!$C$10:$C$309,0)),"※コード未登録"))</f>
        <v/>
      </c>
      <c r="G601" s="16"/>
      <c r="H601" s="8" t="str">
        <f>IF(E601="","",IFERROR(INDEX(食材マスタ!$H$10:$H$309,MATCH(E601,食材マスタ!$C$10:$C$309,0)),""))</f>
        <v/>
      </c>
      <c r="I601" s="15" t="str">
        <f>IF(E601="","",IFERROR(INDEX(食材マスタ!$K$10:$K$309,MATCH(E601,食材マスタ!$C$10:$C$309,0)),""))</f>
        <v/>
      </c>
      <c r="J601" s="15" t="str">
        <f t="shared" si="45"/>
        <v/>
      </c>
      <c r="K601" s="20"/>
      <c r="L601" s="8" t="str">
        <f t="shared" si="46"/>
        <v/>
      </c>
      <c r="M601" s="9"/>
      <c r="N601" s="13" t="str">
        <f t="shared" si="47"/>
        <v/>
      </c>
      <c r="O601" s="22" t="str">
        <f t="shared" ca="1" si="48"/>
        <v/>
      </c>
      <c r="P601" s="17" t="str">
        <f t="shared" si="49"/>
        <v/>
      </c>
      <c r="Q601" s="11"/>
      <c r="R601" s="19"/>
      <c r="S601" s="19"/>
      <c r="U601">
        <f ca="1">IF(AND(ISNUMBER(O601),O601&lt;=設定!$C$4),1,0)</f>
        <v>0</v>
      </c>
      <c r="V601" t="str">
        <f ca="1">IF(U601=1,SUM($U$10:U601),"")</f>
        <v/>
      </c>
    </row>
    <row r="602" spans="2:22">
      <c r="B602" s="8" t="str">
        <f>IF(C602="","",COUNT($C$10:C602))</f>
        <v/>
      </c>
      <c r="C602" s="20"/>
      <c r="D602" s="11"/>
      <c r="E602" s="9"/>
      <c r="F602" s="21" t="str">
        <f>IF(E602="","",IFERROR(INDEX(食材マスタ!$D$10:$D$309,MATCH(E602,食材マスタ!$C$10:$C$309,0)),"※コード未登録"))</f>
        <v/>
      </c>
      <c r="G602" s="16"/>
      <c r="H602" s="8" t="str">
        <f>IF(E602="","",IFERROR(INDEX(食材マスタ!$H$10:$H$309,MATCH(E602,食材マスタ!$C$10:$C$309,0)),""))</f>
        <v/>
      </c>
      <c r="I602" s="15" t="str">
        <f>IF(E602="","",IFERROR(INDEX(食材マスタ!$K$10:$K$309,MATCH(E602,食材マスタ!$C$10:$C$309,0)),""))</f>
        <v/>
      </c>
      <c r="J602" s="15" t="str">
        <f t="shared" si="45"/>
        <v/>
      </c>
      <c r="K602" s="20"/>
      <c r="L602" s="8" t="str">
        <f t="shared" si="46"/>
        <v/>
      </c>
      <c r="M602" s="9"/>
      <c r="N602" s="13" t="str">
        <f t="shared" si="47"/>
        <v/>
      </c>
      <c r="O602" s="22" t="str">
        <f t="shared" ca="1" si="48"/>
        <v/>
      </c>
      <c r="P602" s="17" t="str">
        <f t="shared" si="49"/>
        <v/>
      </c>
      <c r="Q602" s="11"/>
      <c r="R602" s="19"/>
      <c r="S602" s="19"/>
      <c r="U602">
        <f ca="1">IF(AND(ISNUMBER(O602),O602&lt;=設定!$C$4),1,0)</f>
        <v>0</v>
      </c>
      <c r="V602" t="str">
        <f ca="1">IF(U602=1,SUM($U$10:U602),"")</f>
        <v/>
      </c>
    </row>
    <row r="603" spans="2:22">
      <c r="B603" s="8" t="str">
        <f>IF(C603="","",COUNT($C$10:C603))</f>
        <v/>
      </c>
      <c r="C603" s="20"/>
      <c r="D603" s="11"/>
      <c r="E603" s="9"/>
      <c r="F603" s="21" t="str">
        <f>IF(E603="","",IFERROR(INDEX(食材マスタ!$D$10:$D$309,MATCH(E603,食材マスタ!$C$10:$C$309,0)),"※コード未登録"))</f>
        <v/>
      </c>
      <c r="G603" s="16"/>
      <c r="H603" s="8" t="str">
        <f>IF(E603="","",IFERROR(INDEX(食材マスタ!$H$10:$H$309,MATCH(E603,食材マスタ!$C$10:$C$309,0)),""))</f>
        <v/>
      </c>
      <c r="I603" s="15" t="str">
        <f>IF(E603="","",IFERROR(INDEX(食材マスタ!$K$10:$K$309,MATCH(E603,食材マスタ!$C$10:$C$309,0)),""))</f>
        <v/>
      </c>
      <c r="J603" s="15" t="str">
        <f t="shared" si="45"/>
        <v/>
      </c>
      <c r="K603" s="20"/>
      <c r="L603" s="8" t="str">
        <f t="shared" si="46"/>
        <v/>
      </c>
      <c r="M603" s="9"/>
      <c r="N603" s="13" t="str">
        <f t="shared" si="47"/>
        <v/>
      </c>
      <c r="O603" s="22" t="str">
        <f t="shared" ca="1" si="48"/>
        <v/>
      </c>
      <c r="P603" s="17" t="str">
        <f t="shared" si="49"/>
        <v/>
      </c>
      <c r="Q603" s="11"/>
      <c r="R603" s="19"/>
      <c r="S603" s="19"/>
      <c r="U603">
        <f ca="1">IF(AND(ISNUMBER(O603),O603&lt;=設定!$C$4),1,0)</f>
        <v>0</v>
      </c>
      <c r="V603" t="str">
        <f ca="1">IF(U603=1,SUM($U$10:U603),"")</f>
        <v/>
      </c>
    </row>
    <row r="604" spans="2:22">
      <c r="B604" s="8" t="str">
        <f>IF(C604="","",COUNT($C$10:C604))</f>
        <v/>
      </c>
      <c r="C604" s="20"/>
      <c r="D604" s="11"/>
      <c r="E604" s="9"/>
      <c r="F604" s="21" t="str">
        <f>IF(E604="","",IFERROR(INDEX(食材マスタ!$D$10:$D$309,MATCH(E604,食材マスタ!$C$10:$C$309,0)),"※コード未登録"))</f>
        <v/>
      </c>
      <c r="G604" s="16"/>
      <c r="H604" s="8" t="str">
        <f>IF(E604="","",IFERROR(INDEX(食材マスタ!$H$10:$H$309,MATCH(E604,食材マスタ!$C$10:$C$309,0)),""))</f>
        <v/>
      </c>
      <c r="I604" s="15" t="str">
        <f>IF(E604="","",IFERROR(INDEX(食材マスタ!$K$10:$K$309,MATCH(E604,食材マスタ!$C$10:$C$309,0)),""))</f>
        <v/>
      </c>
      <c r="J604" s="15" t="str">
        <f t="shared" si="45"/>
        <v/>
      </c>
      <c r="K604" s="20"/>
      <c r="L604" s="8" t="str">
        <f t="shared" si="46"/>
        <v/>
      </c>
      <c r="M604" s="9"/>
      <c r="N604" s="13" t="str">
        <f t="shared" si="47"/>
        <v/>
      </c>
      <c r="O604" s="22" t="str">
        <f t="shared" ca="1" si="48"/>
        <v/>
      </c>
      <c r="P604" s="17" t="str">
        <f t="shared" si="49"/>
        <v/>
      </c>
      <c r="Q604" s="11"/>
      <c r="R604" s="19"/>
      <c r="S604" s="19"/>
      <c r="U604">
        <f ca="1">IF(AND(ISNUMBER(O604),O604&lt;=設定!$C$4),1,0)</f>
        <v>0</v>
      </c>
      <c r="V604" t="str">
        <f ca="1">IF(U604=1,SUM($U$10:U604),"")</f>
        <v/>
      </c>
    </row>
    <row r="605" spans="2:22">
      <c r="B605" s="8" t="str">
        <f>IF(C605="","",COUNT($C$10:C605))</f>
        <v/>
      </c>
      <c r="C605" s="20"/>
      <c r="D605" s="11"/>
      <c r="E605" s="9"/>
      <c r="F605" s="21" t="str">
        <f>IF(E605="","",IFERROR(INDEX(食材マスタ!$D$10:$D$309,MATCH(E605,食材マスタ!$C$10:$C$309,0)),"※コード未登録"))</f>
        <v/>
      </c>
      <c r="G605" s="16"/>
      <c r="H605" s="8" t="str">
        <f>IF(E605="","",IFERROR(INDEX(食材マスタ!$H$10:$H$309,MATCH(E605,食材マスタ!$C$10:$C$309,0)),""))</f>
        <v/>
      </c>
      <c r="I605" s="15" t="str">
        <f>IF(E605="","",IFERROR(INDEX(食材マスタ!$K$10:$K$309,MATCH(E605,食材マスタ!$C$10:$C$309,0)),""))</f>
        <v/>
      </c>
      <c r="J605" s="15" t="str">
        <f t="shared" si="45"/>
        <v/>
      </c>
      <c r="K605" s="20"/>
      <c r="L605" s="8" t="str">
        <f t="shared" si="46"/>
        <v/>
      </c>
      <c r="M605" s="9"/>
      <c r="N605" s="13" t="str">
        <f t="shared" si="47"/>
        <v/>
      </c>
      <c r="O605" s="22" t="str">
        <f t="shared" ca="1" si="48"/>
        <v/>
      </c>
      <c r="P605" s="17" t="str">
        <f t="shared" si="49"/>
        <v/>
      </c>
      <c r="Q605" s="11"/>
      <c r="R605" s="19"/>
      <c r="S605" s="19"/>
      <c r="U605">
        <f ca="1">IF(AND(ISNUMBER(O605),O605&lt;=設定!$C$4),1,0)</f>
        <v>0</v>
      </c>
      <c r="V605" t="str">
        <f ca="1">IF(U605=1,SUM($U$10:U605),"")</f>
        <v/>
      </c>
    </row>
    <row r="606" spans="2:22">
      <c r="B606" s="8" t="str">
        <f>IF(C606="","",COUNT($C$10:C606))</f>
        <v/>
      </c>
      <c r="C606" s="20"/>
      <c r="D606" s="11"/>
      <c r="E606" s="9"/>
      <c r="F606" s="21" t="str">
        <f>IF(E606="","",IFERROR(INDEX(食材マスタ!$D$10:$D$309,MATCH(E606,食材マスタ!$C$10:$C$309,0)),"※コード未登録"))</f>
        <v/>
      </c>
      <c r="G606" s="16"/>
      <c r="H606" s="8" t="str">
        <f>IF(E606="","",IFERROR(INDEX(食材マスタ!$H$10:$H$309,MATCH(E606,食材マスタ!$C$10:$C$309,0)),""))</f>
        <v/>
      </c>
      <c r="I606" s="15" t="str">
        <f>IF(E606="","",IFERROR(INDEX(食材マスタ!$K$10:$K$309,MATCH(E606,食材マスタ!$C$10:$C$309,0)),""))</f>
        <v/>
      </c>
      <c r="J606" s="15" t="str">
        <f t="shared" si="45"/>
        <v/>
      </c>
      <c r="K606" s="20"/>
      <c r="L606" s="8" t="str">
        <f t="shared" si="46"/>
        <v/>
      </c>
      <c r="M606" s="9"/>
      <c r="N606" s="13" t="str">
        <f t="shared" si="47"/>
        <v/>
      </c>
      <c r="O606" s="22" t="str">
        <f t="shared" ca="1" si="48"/>
        <v/>
      </c>
      <c r="P606" s="17" t="str">
        <f t="shared" si="49"/>
        <v/>
      </c>
      <c r="Q606" s="11"/>
      <c r="R606" s="19"/>
      <c r="S606" s="19"/>
      <c r="U606">
        <f ca="1">IF(AND(ISNUMBER(O606),O606&lt;=設定!$C$4),1,0)</f>
        <v>0</v>
      </c>
      <c r="V606" t="str">
        <f ca="1">IF(U606=1,SUM($U$10:U606),"")</f>
        <v/>
      </c>
    </row>
    <row r="607" spans="2:22">
      <c r="B607" s="8" t="str">
        <f>IF(C607="","",COUNT($C$10:C607))</f>
        <v/>
      </c>
      <c r="C607" s="20"/>
      <c r="D607" s="11"/>
      <c r="E607" s="9"/>
      <c r="F607" s="21" t="str">
        <f>IF(E607="","",IFERROR(INDEX(食材マスタ!$D$10:$D$309,MATCH(E607,食材マスタ!$C$10:$C$309,0)),"※コード未登録"))</f>
        <v/>
      </c>
      <c r="G607" s="16"/>
      <c r="H607" s="8" t="str">
        <f>IF(E607="","",IFERROR(INDEX(食材マスタ!$H$10:$H$309,MATCH(E607,食材マスタ!$C$10:$C$309,0)),""))</f>
        <v/>
      </c>
      <c r="I607" s="15" t="str">
        <f>IF(E607="","",IFERROR(INDEX(食材マスタ!$K$10:$K$309,MATCH(E607,食材マスタ!$C$10:$C$309,0)),""))</f>
        <v/>
      </c>
      <c r="J607" s="15" t="str">
        <f t="shared" si="45"/>
        <v/>
      </c>
      <c r="K607" s="20"/>
      <c r="L607" s="8" t="str">
        <f t="shared" si="46"/>
        <v/>
      </c>
      <c r="M607" s="9"/>
      <c r="N607" s="13" t="str">
        <f t="shared" si="47"/>
        <v/>
      </c>
      <c r="O607" s="22" t="str">
        <f t="shared" ca="1" si="48"/>
        <v/>
      </c>
      <c r="P607" s="17" t="str">
        <f t="shared" si="49"/>
        <v/>
      </c>
      <c r="Q607" s="11"/>
      <c r="R607" s="19"/>
      <c r="S607" s="19"/>
      <c r="U607">
        <f ca="1">IF(AND(ISNUMBER(O607),O607&lt;=設定!$C$4),1,0)</f>
        <v>0</v>
      </c>
      <c r="V607" t="str">
        <f ca="1">IF(U607=1,SUM($U$10:U607),"")</f>
        <v/>
      </c>
    </row>
    <row r="608" spans="2:22">
      <c r="B608" s="8" t="str">
        <f>IF(C608="","",COUNT($C$10:C608))</f>
        <v/>
      </c>
      <c r="C608" s="20"/>
      <c r="D608" s="11"/>
      <c r="E608" s="9"/>
      <c r="F608" s="21" t="str">
        <f>IF(E608="","",IFERROR(INDEX(食材マスタ!$D$10:$D$309,MATCH(E608,食材マスタ!$C$10:$C$309,0)),"※コード未登録"))</f>
        <v/>
      </c>
      <c r="G608" s="16"/>
      <c r="H608" s="8" t="str">
        <f>IF(E608="","",IFERROR(INDEX(食材マスタ!$H$10:$H$309,MATCH(E608,食材マスタ!$C$10:$C$309,0)),""))</f>
        <v/>
      </c>
      <c r="I608" s="15" t="str">
        <f>IF(E608="","",IFERROR(INDEX(食材マスタ!$K$10:$K$309,MATCH(E608,食材マスタ!$C$10:$C$309,0)),""))</f>
        <v/>
      </c>
      <c r="J608" s="15" t="str">
        <f t="shared" si="45"/>
        <v/>
      </c>
      <c r="K608" s="20"/>
      <c r="L608" s="8" t="str">
        <f t="shared" si="46"/>
        <v/>
      </c>
      <c r="M608" s="9"/>
      <c r="N608" s="13" t="str">
        <f t="shared" si="47"/>
        <v/>
      </c>
      <c r="O608" s="22" t="str">
        <f t="shared" ca="1" si="48"/>
        <v/>
      </c>
      <c r="P608" s="17" t="str">
        <f t="shared" si="49"/>
        <v/>
      </c>
      <c r="Q608" s="11"/>
      <c r="R608" s="19"/>
      <c r="S608" s="19"/>
      <c r="U608">
        <f ca="1">IF(AND(ISNUMBER(O608),O608&lt;=設定!$C$4),1,0)</f>
        <v>0</v>
      </c>
      <c r="V608" t="str">
        <f ca="1">IF(U608=1,SUM($U$10:U608),"")</f>
        <v/>
      </c>
    </row>
    <row r="609" spans="2:22">
      <c r="B609" s="8" t="str">
        <f>IF(C609="","",COUNT($C$10:C609))</f>
        <v/>
      </c>
      <c r="C609" s="20"/>
      <c r="D609" s="11"/>
      <c r="E609" s="9"/>
      <c r="F609" s="21" t="str">
        <f>IF(E609="","",IFERROR(INDEX(食材マスタ!$D$10:$D$309,MATCH(E609,食材マスタ!$C$10:$C$309,0)),"※コード未登録"))</f>
        <v/>
      </c>
      <c r="G609" s="16"/>
      <c r="H609" s="8" t="str">
        <f>IF(E609="","",IFERROR(INDEX(食材マスタ!$H$10:$H$309,MATCH(E609,食材マスタ!$C$10:$C$309,0)),""))</f>
        <v/>
      </c>
      <c r="I609" s="15" t="str">
        <f>IF(E609="","",IFERROR(INDEX(食材マスタ!$K$10:$K$309,MATCH(E609,食材マスタ!$C$10:$C$309,0)),""))</f>
        <v/>
      </c>
      <c r="J609" s="15" t="str">
        <f t="shared" si="45"/>
        <v/>
      </c>
      <c r="K609" s="20"/>
      <c r="L609" s="8" t="str">
        <f t="shared" si="46"/>
        <v/>
      </c>
      <c r="M609" s="9"/>
      <c r="N609" s="13" t="str">
        <f t="shared" si="47"/>
        <v/>
      </c>
      <c r="O609" s="22" t="str">
        <f t="shared" ca="1" si="48"/>
        <v/>
      </c>
      <c r="P609" s="17" t="str">
        <f t="shared" si="49"/>
        <v/>
      </c>
      <c r="Q609" s="11"/>
      <c r="R609" s="19"/>
      <c r="S609" s="19"/>
      <c r="U609">
        <f ca="1">IF(AND(ISNUMBER(O609),O609&lt;=設定!$C$4),1,0)</f>
        <v>0</v>
      </c>
      <c r="V609" t="str">
        <f ca="1">IF(U609=1,SUM($U$10:U609),"")</f>
        <v/>
      </c>
    </row>
    <row r="610" spans="2:22">
      <c r="B610" s="8" t="str">
        <f>IF(C610="","",COUNT($C$10:C610))</f>
        <v/>
      </c>
      <c r="C610" s="20"/>
      <c r="D610" s="11"/>
      <c r="E610" s="9"/>
      <c r="F610" s="21" t="str">
        <f>IF(E610="","",IFERROR(INDEX(食材マスタ!$D$10:$D$309,MATCH(E610,食材マスタ!$C$10:$C$309,0)),"※コード未登録"))</f>
        <v/>
      </c>
      <c r="G610" s="16"/>
      <c r="H610" s="8" t="str">
        <f>IF(E610="","",IFERROR(INDEX(食材マスタ!$H$10:$H$309,MATCH(E610,食材マスタ!$C$10:$C$309,0)),""))</f>
        <v/>
      </c>
      <c r="I610" s="15" t="str">
        <f>IF(E610="","",IFERROR(INDEX(食材マスタ!$K$10:$K$309,MATCH(E610,食材マスタ!$C$10:$C$309,0)),""))</f>
        <v/>
      </c>
      <c r="J610" s="15" t="str">
        <f t="shared" si="45"/>
        <v/>
      </c>
      <c r="K610" s="20"/>
      <c r="L610" s="8" t="str">
        <f t="shared" si="46"/>
        <v/>
      </c>
      <c r="M610" s="9"/>
      <c r="N610" s="13" t="str">
        <f t="shared" si="47"/>
        <v/>
      </c>
      <c r="O610" s="22" t="str">
        <f t="shared" ca="1" si="48"/>
        <v/>
      </c>
      <c r="P610" s="17" t="str">
        <f t="shared" si="49"/>
        <v/>
      </c>
      <c r="Q610" s="11"/>
      <c r="R610" s="19"/>
      <c r="S610" s="19"/>
      <c r="U610">
        <f ca="1">IF(AND(ISNUMBER(O610),O610&lt;=設定!$C$4),1,0)</f>
        <v>0</v>
      </c>
      <c r="V610" t="str">
        <f ca="1">IF(U610=1,SUM($U$10:U610),"")</f>
        <v/>
      </c>
    </row>
    <row r="611" spans="2:22">
      <c r="B611" s="8" t="str">
        <f>IF(C611="","",COUNT($C$10:C611))</f>
        <v/>
      </c>
      <c r="C611" s="20"/>
      <c r="D611" s="11"/>
      <c r="E611" s="9"/>
      <c r="F611" s="21" t="str">
        <f>IF(E611="","",IFERROR(INDEX(食材マスタ!$D$10:$D$309,MATCH(E611,食材マスタ!$C$10:$C$309,0)),"※コード未登録"))</f>
        <v/>
      </c>
      <c r="G611" s="16"/>
      <c r="H611" s="8" t="str">
        <f>IF(E611="","",IFERROR(INDEX(食材マスタ!$H$10:$H$309,MATCH(E611,食材マスタ!$C$10:$C$309,0)),""))</f>
        <v/>
      </c>
      <c r="I611" s="15" t="str">
        <f>IF(E611="","",IFERROR(INDEX(食材マスタ!$K$10:$K$309,MATCH(E611,食材マスタ!$C$10:$C$309,0)),""))</f>
        <v/>
      </c>
      <c r="J611" s="15" t="str">
        <f t="shared" si="45"/>
        <v/>
      </c>
      <c r="K611" s="20"/>
      <c r="L611" s="8" t="str">
        <f t="shared" si="46"/>
        <v/>
      </c>
      <c r="M611" s="9"/>
      <c r="N611" s="13" t="str">
        <f t="shared" si="47"/>
        <v/>
      </c>
      <c r="O611" s="22" t="str">
        <f t="shared" ca="1" si="48"/>
        <v/>
      </c>
      <c r="P611" s="17" t="str">
        <f t="shared" si="49"/>
        <v/>
      </c>
      <c r="Q611" s="11"/>
      <c r="R611" s="19"/>
      <c r="S611" s="19"/>
      <c r="U611">
        <f ca="1">IF(AND(ISNUMBER(O611),O611&lt;=設定!$C$4),1,0)</f>
        <v>0</v>
      </c>
      <c r="V611" t="str">
        <f ca="1">IF(U611=1,SUM($U$10:U611),"")</f>
        <v/>
      </c>
    </row>
    <row r="612" spans="2:22">
      <c r="B612" s="8" t="str">
        <f>IF(C612="","",COUNT($C$10:C612))</f>
        <v/>
      </c>
      <c r="C612" s="20"/>
      <c r="D612" s="11"/>
      <c r="E612" s="9"/>
      <c r="F612" s="21" t="str">
        <f>IF(E612="","",IFERROR(INDEX(食材マスタ!$D$10:$D$309,MATCH(E612,食材マスタ!$C$10:$C$309,0)),"※コード未登録"))</f>
        <v/>
      </c>
      <c r="G612" s="16"/>
      <c r="H612" s="8" t="str">
        <f>IF(E612="","",IFERROR(INDEX(食材マスタ!$H$10:$H$309,MATCH(E612,食材マスタ!$C$10:$C$309,0)),""))</f>
        <v/>
      </c>
      <c r="I612" s="15" t="str">
        <f>IF(E612="","",IFERROR(INDEX(食材マスタ!$K$10:$K$309,MATCH(E612,食材マスタ!$C$10:$C$309,0)),""))</f>
        <v/>
      </c>
      <c r="J612" s="15" t="str">
        <f t="shared" si="45"/>
        <v/>
      </c>
      <c r="K612" s="20"/>
      <c r="L612" s="8" t="str">
        <f t="shared" si="46"/>
        <v/>
      </c>
      <c r="M612" s="9"/>
      <c r="N612" s="13" t="str">
        <f t="shared" si="47"/>
        <v/>
      </c>
      <c r="O612" s="22" t="str">
        <f t="shared" ca="1" si="48"/>
        <v/>
      </c>
      <c r="P612" s="17" t="str">
        <f t="shared" si="49"/>
        <v/>
      </c>
      <c r="Q612" s="11"/>
      <c r="R612" s="19"/>
      <c r="S612" s="19"/>
      <c r="U612">
        <f ca="1">IF(AND(ISNUMBER(O612),O612&lt;=設定!$C$4),1,0)</f>
        <v>0</v>
      </c>
      <c r="V612" t="str">
        <f ca="1">IF(U612=1,SUM($U$10:U612),"")</f>
        <v/>
      </c>
    </row>
    <row r="613" spans="2:22">
      <c r="B613" s="8" t="str">
        <f>IF(C613="","",COUNT($C$10:C613))</f>
        <v/>
      </c>
      <c r="C613" s="20"/>
      <c r="D613" s="11"/>
      <c r="E613" s="9"/>
      <c r="F613" s="21" t="str">
        <f>IF(E613="","",IFERROR(INDEX(食材マスタ!$D$10:$D$309,MATCH(E613,食材マスタ!$C$10:$C$309,0)),"※コード未登録"))</f>
        <v/>
      </c>
      <c r="G613" s="16"/>
      <c r="H613" s="8" t="str">
        <f>IF(E613="","",IFERROR(INDEX(食材マスタ!$H$10:$H$309,MATCH(E613,食材マスタ!$C$10:$C$309,0)),""))</f>
        <v/>
      </c>
      <c r="I613" s="15" t="str">
        <f>IF(E613="","",IFERROR(INDEX(食材マスタ!$K$10:$K$309,MATCH(E613,食材マスタ!$C$10:$C$309,0)),""))</f>
        <v/>
      </c>
      <c r="J613" s="15" t="str">
        <f t="shared" si="45"/>
        <v/>
      </c>
      <c r="K613" s="20"/>
      <c r="L613" s="8" t="str">
        <f t="shared" si="46"/>
        <v/>
      </c>
      <c r="M613" s="9"/>
      <c r="N613" s="13" t="str">
        <f t="shared" si="47"/>
        <v/>
      </c>
      <c r="O613" s="22" t="str">
        <f t="shared" ca="1" si="48"/>
        <v/>
      </c>
      <c r="P613" s="17" t="str">
        <f t="shared" si="49"/>
        <v/>
      </c>
      <c r="Q613" s="11"/>
      <c r="R613" s="19"/>
      <c r="S613" s="19"/>
      <c r="U613">
        <f ca="1">IF(AND(ISNUMBER(O613),O613&lt;=設定!$C$4),1,0)</f>
        <v>0</v>
      </c>
      <c r="V613" t="str">
        <f ca="1">IF(U613=1,SUM($U$10:U613),"")</f>
        <v/>
      </c>
    </row>
    <row r="614" spans="2:22">
      <c r="B614" s="8" t="str">
        <f>IF(C614="","",COUNT($C$10:C614))</f>
        <v/>
      </c>
      <c r="C614" s="20"/>
      <c r="D614" s="11"/>
      <c r="E614" s="9"/>
      <c r="F614" s="21" t="str">
        <f>IF(E614="","",IFERROR(INDEX(食材マスタ!$D$10:$D$309,MATCH(E614,食材マスタ!$C$10:$C$309,0)),"※コード未登録"))</f>
        <v/>
      </c>
      <c r="G614" s="16"/>
      <c r="H614" s="8" t="str">
        <f>IF(E614="","",IFERROR(INDEX(食材マスタ!$H$10:$H$309,MATCH(E614,食材マスタ!$C$10:$C$309,0)),""))</f>
        <v/>
      </c>
      <c r="I614" s="15" t="str">
        <f>IF(E614="","",IFERROR(INDEX(食材マスタ!$K$10:$K$309,MATCH(E614,食材マスタ!$C$10:$C$309,0)),""))</f>
        <v/>
      </c>
      <c r="J614" s="15" t="str">
        <f t="shared" si="45"/>
        <v/>
      </c>
      <c r="K614" s="20"/>
      <c r="L614" s="8" t="str">
        <f t="shared" si="46"/>
        <v/>
      </c>
      <c r="M614" s="9"/>
      <c r="N614" s="13" t="str">
        <f t="shared" si="47"/>
        <v/>
      </c>
      <c r="O614" s="22" t="str">
        <f t="shared" ca="1" si="48"/>
        <v/>
      </c>
      <c r="P614" s="17" t="str">
        <f t="shared" si="49"/>
        <v/>
      </c>
      <c r="Q614" s="11"/>
      <c r="R614" s="19"/>
      <c r="S614" s="19"/>
      <c r="U614">
        <f ca="1">IF(AND(ISNUMBER(O614),O614&lt;=設定!$C$4),1,0)</f>
        <v>0</v>
      </c>
      <c r="V614" t="str">
        <f ca="1">IF(U614=1,SUM($U$10:U614),"")</f>
        <v/>
      </c>
    </row>
    <row r="615" spans="2:22">
      <c r="B615" s="8" t="str">
        <f>IF(C615="","",COUNT($C$10:C615))</f>
        <v/>
      </c>
      <c r="C615" s="20"/>
      <c r="D615" s="11"/>
      <c r="E615" s="9"/>
      <c r="F615" s="21" t="str">
        <f>IF(E615="","",IFERROR(INDEX(食材マスタ!$D$10:$D$309,MATCH(E615,食材マスタ!$C$10:$C$309,0)),"※コード未登録"))</f>
        <v/>
      </c>
      <c r="G615" s="16"/>
      <c r="H615" s="8" t="str">
        <f>IF(E615="","",IFERROR(INDEX(食材マスタ!$H$10:$H$309,MATCH(E615,食材マスタ!$C$10:$C$309,0)),""))</f>
        <v/>
      </c>
      <c r="I615" s="15" t="str">
        <f>IF(E615="","",IFERROR(INDEX(食材マスタ!$K$10:$K$309,MATCH(E615,食材マスタ!$C$10:$C$309,0)),""))</f>
        <v/>
      </c>
      <c r="J615" s="15" t="str">
        <f t="shared" si="45"/>
        <v/>
      </c>
      <c r="K615" s="20"/>
      <c r="L615" s="8" t="str">
        <f t="shared" si="46"/>
        <v/>
      </c>
      <c r="M615" s="9"/>
      <c r="N615" s="13" t="str">
        <f t="shared" si="47"/>
        <v/>
      </c>
      <c r="O615" s="22" t="str">
        <f t="shared" ca="1" si="48"/>
        <v/>
      </c>
      <c r="P615" s="17" t="str">
        <f t="shared" si="49"/>
        <v/>
      </c>
      <c r="Q615" s="11"/>
      <c r="R615" s="19"/>
      <c r="S615" s="19"/>
      <c r="U615">
        <f ca="1">IF(AND(ISNUMBER(O615),O615&lt;=設定!$C$4),1,0)</f>
        <v>0</v>
      </c>
      <c r="V615" t="str">
        <f ca="1">IF(U615=1,SUM($U$10:U615),"")</f>
        <v/>
      </c>
    </row>
    <row r="616" spans="2:22">
      <c r="B616" s="8" t="str">
        <f>IF(C616="","",COUNT($C$10:C616))</f>
        <v/>
      </c>
      <c r="C616" s="20"/>
      <c r="D616" s="11"/>
      <c r="E616" s="9"/>
      <c r="F616" s="21" t="str">
        <f>IF(E616="","",IFERROR(INDEX(食材マスタ!$D$10:$D$309,MATCH(E616,食材マスタ!$C$10:$C$309,0)),"※コード未登録"))</f>
        <v/>
      </c>
      <c r="G616" s="16"/>
      <c r="H616" s="8" t="str">
        <f>IF(E616="","",IFERROR(INDEX(食材マスタ!$H$10:$H$309,MATCH(E616,食材マスタ!$C$10:$C$309,0)),""))</f>
        <v/>
      </c>
      <c r="I616" s="15" t="str">
        <f>IF(E616="","",IFERROR(INDEX(食材マスタ!$K$10:$K$309,MATCH(E616,食材マスタ!$C$10:$C$309,0)),""))</f>
        <v/>
      </c>
      <c r="J616" s="15" t="str">
        <f t="shared" si="45"/>
        <v/>
      </c>
      <c r="K616" s="20"/>
      <c r="L616" s="8" t="str">
        <f t="shared" si="46"/>
        <v/>
      </c>
      <c r="M616" s="9"/>
      <c r="N616" s="13" t="str">
        <f t="shared" si="47"/>
        <v/>
      </c>
      <c r="O616" s="22" t="str">
        <f t="shared" ca="1" si="48"/>
        <v/>
      </c>
      <c r="P616" s="17" t="str">
        <f t="shared" si="49"/>
        <v/>
      </c>
      <c r="Q616" s="11"/>
      <c r="R616" s="19"/>
      <c r="S616" s="19"/>
      <c r="U616">
        <f ca="1">IF(AND(ISNUMBER(O616),O616&lt;=設定!$C$4),1,0)</f>
        <v>0</v>
      </c>
      <c r="V616" t="str">
        <f ca="1">IF(U616=1,SUM($U$10:U616),"")</f>
        <v/>
      </c>
    </row>
    <row r="617" spans="2:22">
      <c r="B617" s="8" t="str">
        <f>IF(C617="","",COUNT($C$10:C617))</f>
        <v/>
      </c>
      <c r="C617" s="20"/>
      <c r="D617" s="11"/>
      <c r="E617" s="9"/>
      <c r="F617" s="21" t="str">
        <f>IF(E617="","",IFERROR(INDEX(食材マスタ!$D$10:$D$309,MATCH(E617,食材マスタ!$C$10:$C$309,0)),"※コード未登録"))</f>
        <v/>
      </c>
      <c r="G617" s="16"/>
      <c r="H617" s="8" t="str">
        <f>IF(E617="","",IFERROR(INDEX(食材マスタ!$H$10:$H$309,MATCH(E617,食材マスタ!$C$10:$C$309,0)),""))</f>
        <v/>
      </c>
      <c r="I617" s="15" t="str">
        <f>IF(E617="","",IFERROR(INDEX(食材マスタ!$K$10:$K$309,MATCH(E617,食材マスタ!$C$10:$C$309,0)),""))</f>
        <v/>
      </c>
      <c r="J617" s="15" t="str">
        <f t="shared" si="45"/>
        <v/>
      </c>
      <c r="K617" s="20"/>
      <c r="L617" s="8" t="str">
        <f t="shared" si="46"/>
        <v/>
      </c>
      <c r="M617" s="9"/>
      <c r="N617" s="13" t="str">
        <f t="shared" si="47"/>
        <v/>
      </c>
      <c r="O617" s="22" t="str">
        <f t="shared" ca="1" si="48"/>
        <v/>
      </c>
      <c r="P617" s="17" t="str">
        <f t="shared" si="49"/>
        <v/>
      </c>
      <c r="Q617" s="11"/>
      <c r="R617" s="19"/>
      <c r="S617" s="19"/>
      <c r="U617">
        <f ca="1">IF(AND(ISNUMBER(O617),O617&lt;=設定!$C$4),1,0)</f>
        <v>0</v>
      </c>
      <c r="V617" t="str">
        <f ca="1">IF(U617=1,SUM($U$10:U617),"")</f>
        <v/>
      </c>
    </row>
    <row r="618" spans="2:22">
      <c r="B618" s="8" t="str">
        <f>IF(C618="","",COUNT($C$10:C618))</f>
        <v/>
      </c>
      <c r="C618" s="20"/>
      <c r="D618" s="11"/>
      <c r="E618" s="9"/>
      <c r="F618" s="21" t="str">
        <f>IF(E618="","",IFERROR(INDEX(食材マスタ!$D$10:$D$309,MATCH(E618,食材マスタ!$C$10:$C$309,0)),"※コード未登録"))</f>
        <v/>
      </c>
      <c r="G618" s="16"/>
      <c r="H618" s="8" t="str">
        <f>IF(E618="","",IFERROR(INDEX(食材マスタ!$H$10:$H$309,MATCH(E618,食材マスタ!$C$10:$C$309,0)),""))</f>
        <v/>
      </c>
      <c r="I618" s="15" t="str">
        <f>IF(E618="","",IFERROR(INDEX(食材マスタ!$K$10:$K$309,MATCH(E618,食材マスタ!$C$10:$C$309,0)),""))</f>
        <v/>
      </c>
      <c r="J618" s="15" t="str">
        <f t="shared" si="45"/>
        <v/>
      </c>
      <c r="K618" s="20"/>
      <c r="L618" s="8" t="str">
        <f t="shared" si="46"/>
        <v/>
      </c>
      <c r="M618" s="9"/>
      <c r="N618" s="13" t="str">
        <f t="shared" si="47"/>
        <v/>
      </c>
      <c r="O618" s="22" t="str">
        <f t="shared" ca="1" si="48"/>
        <v/>
      </c>
      <c r="P618" s="17" t="str">
        <f t="shared" si="49"/>
        <v/>
      </c>
      <c r="Q618" s="11"/>
      <c r="R618" s="19"/>
      <c r="S618" s="19"/>
      <c r="U618">
        <f ca="1">IF(AND(ISNUMBER(O618),O618&lt;=設定!$C$4),1,0)</f>
        <v>0</v>
      </c>
      <c r="V618" t="str">
        <f ca="1">IF(U618=1,SUM($U$10:U618),"")</f>
        <v/>
      </c>
    </row>
    <row r="619" spans="2:22">
      <c r="B619" s="8" t="str">
        <f>IF(C619="","",COUNT($C$10:C619))</f>
        <v/>
      </c>
      <c r="C619" s="20"/>
      <c r="D619" s="11"/>
      <c r="E619" s="9"/>
      <c r="F619" s="21" t="str">
        <f>IF(E619="","",IFERROR(INDEX(食材マスタ!$D$10:$D$309,MATCH(E619,食材マスタ!$C$10:$C$309,0)),"※コード未登録"))</f>
        <v/>
      </c>
      <c r="G619" s="16"/>
      <c r="H619" s="8" t="str">
        <f>IF(E619="","",IFERROR(INDEX(食材マスタ!$H$10:$H$309,MATCH(E619,食材マスタ!$C$10:$C$309,0)),""))</f>
        <v/>
      </c>
      <c r="I619" s="15" t="str">
        <f>IF(E619="","",IFERROR(INDEX(食材マスタ!$K$10:$K$309,MATCH(E619,食材マスタ!$C$10:$C$309,0)),""))</f>
        <v/>
      </c>
      <c r="J619" s="15" t="str">
        <f t="shared" si="45"/>
        <v/>
      </c>
      <c r="K619" s="20"/>
      <c r="L619" s="8" t="str">
        <f t="shared" si="46"/>
        <v/>
      </c>
      <c r="M619" s="9"/>
      <c r="N619" s="13" t="str">
        <f t="shared" si="47"/>
        <v/>
      </c>
      <c r="O619" s="22" t="str">
        <f t="shared" ca="1" si="48"/>
        <v/>
      </c>
      <c r="P619" s="17" t="str">
        <f t="shared" si="49"/>
        <v/>
      </c>
      <c r="Q619" s="11"/>
      <c r="R619" s="19"/>
      <c r="S619" s="19"/>
      <c r="U619">
        <f ca="1">IF(AND(ISNUMBER(O619),O619&lt;=設定!$C$4),1,0)</f>
        <v>0</v>
      </c>
      <c r="V619" t="str">
        <f ca="1">IF(U619=1,SUM($U$10:U619),"")</f>
        <v/>
      </c>
    </row>
    <row r="620" spans="2:22">
      <c r="B620" s="8" t="str">
        <f>IF(C620="","",COUNT($C$10:C620))</f>
        <v/>
      </c>
      <c r="C620" s="20"/>
      <c r="D620" s="11"/>
      <c r="E620" s="9"/>
      <c r="F620" s="21" t="str">
        <f>IF(E620="","",IFERROR(INDEX(食材マスタ!$D$10:$D$309,MATCH(E620,食材マスタ!$C$10:$C$309,0)),"※コード未登録"))</f>
        <v/>
      </c>
      <c r="G620" s="16"/>
      <c r="H620" s="8" t="str">
        <f>IF(E620="","",IFERROR(INDEX(食材マスタ!$H$10:$H$309,MATCH(E620,食材マスタ!$C$10:$C$309,0)),""))</f>
        <v/>
      </c>
      <c r="I620" s="15" t="str">
        <f>IF(E620="","",IFERROR(INDEX(食材マスタ!$K$10:$K$309,MATCH(E620,食材マスタ!$C$10:$C$309,0)),""))</f>
        <v/>
      </c>
      <c r="J620" s="15" t="str">
        <f t="shared" si="45"/>
        <v/>
      </c>
      <c r="K620" s="20"/>
      <c r="L620" s="8" t="str">
        <f t="shared" si="46"/>
        <v/>
      </c>
      <c r="M620" s="9"/>
      <c r="N620" s="13" t="str">
        <f t="shared" si="47"/>
        <v/>
      </c>
      <c r="O620" s="22" t="str">
        <f t="shared" ca="1" si="48"/>
        <v/>
      </c>
      <c r="P620" s="17" t="str">
        <f t="shared" si="49"/>
        <v/>
      </c>
      <c r="Q620" s="11"/>
      <c r="R620" s="19"/>
      <c r="S620" s="19"/>
      <c r="U620">
        <f ca="1">IF(AND(ISNUMBER(O620),O620&lt;=設定!$C$4),1,0)</f>
        <v>0</v>
      </c>
      <c r="V620" t="str">
        <f ca="1">IF(U620=1,SUM($U$10:U620),"")</f>
        <v/>
      </c>
    </row>
    <row r="621" spans="2:22">
      <c r="B621" s="8" t="str">
        <f>IF(C621="","",COUNT($C$10:C621))</f>
        <v/>
      </c>
      <c r="C621" s="20"/>
      <c r="D621" s="11"/>
      <c r="E621" s="9"/>
      <c r="F621" s="21" t="str">
        <f>IF(E621="","",IFERROR(INDEX(食材マスタ!$D$10:$D$309,MATCH(E621,食材マスタ!$C$10:$C$309,0)),"※コード未登録"))</f>
        <v/>
      </c>
      <c r="G621" s="16"/>
      <c r="H621" s="8" t="str">
        <f>IF(E621="","",IFERROR(INDEX(食材マスタ!$H$10:$H$309,MATCH(E621,食材マスタ!$C$10:$C$309,0)),""))</f>
        <v/>
      </c>
      <c r="I621" s="15" t="str">
        <f>IF(E621="","",IFERROR(INDEX(食材マスタ!$K$10:$K$309,MATCH(E621,食材マスタ!$C$10:$C$309,0)),""))</f>
        <v/>
      </c>
      <c r="J621" s="15" t="str">
        <f t="shared" si="45"/>
        <v/>
      </c>
      <c r="K621" s="20"/>
      <c r="L621" s="8" t="str">
        <f t="shared" si="46"/>
        <v/>
      </c>
      <c r="M621" s="9"/>
      <c r="N621" s="13" t="str">
        <f t="shared" si="47"/>
        <v/>
      </c>
      <c r="O621" s="22" t="str">
        <f t="shared" ca="1" si="48"/>
        <v/>
      </c>
      <c r="P621" s="17" t="str">
        <f t="shared" si="49"/>
        <v/>
      </c>
      <c r="Q621" s="11"/>
      <c r="R621" s="19"/>
      <c r="S621" s="19"/>
      <c r="U621">
        <f ca="1">IF(AND(ISNUMBER(O621),O621&lt;=設定!$C$4),1,0)</f>
        <v>0</v>
      </c>
      <c r="V621" t="str">
        <f ca="1">IF(U621=1,SUM($U$10:U621),"")</f>
        <v/>
      </c>
    </row>
    <row r="622" spans="2:22">
      <c r="B622" s="8" t="str">
        <f>IF(C622="","",COUNT($C$10:C622))</f>
        <v/>
      </c>
      <c r="C622" s="20"/>
      <c r="D622" s="11"/>
      <c r="E622" s="9"/>
      <c r="F622" s="21" t="str">
        <f>IF(E622="","",IFERROR(INDEX(食材マスタ!$D$10:$D$309,MATCH(E622,食材マスタ!$C$10:$C$309,0)),"※コード未登録"))</f>
        <v/>
      </c>
      <c r="G622" s="16"/>
      <c r="H622" s="8" t="str">
        <f>IF(E622="","",IFERROR(INDEX(食材マスタ!$H$10:$H$309,MATCH(E622,食材マスタ!$C$10:$C$309,0)),""))</f>
        <v/>
      </c>
      <c r="I622" s="15" t="str">
        <f>IF(E622="","",IFERROR(INDEX(食材マスタ!$K$10:$K$309,MATCH(E622,食材マスタ!$C$10:$C$309,0)),""))</f>
        <v/>
      </c>
      <c r="J622" s="15" t="str">
        <f t="shared" si="45"/>
        <v/>
      </c>
      <c r="K622" s="20"/>
      <c r="L622" s="8" t="str">
        <f t="shared" si="46"/>
        <v/>
      </c>
      <c r="M622" s="9"/>
      <c r="N622" s="13" t="str">
        <f t="shared" si="47"/>
        <v/>
      </c>
      <c r="O622" s="22" t="str">
        <f t="shared" ca="1" si="48"/>
        <v/>
      </c>
      <c r="P622" s="17" t="str">
        <f t="shared" si="49"/>
        <v/>
      </c>
      <c r="Q622" s="11"/>
      <c r="R622" s="19"/>
      <c r="S622" s="19"/>
      <c r="U622">
        <f ca="1">IF(AND(ISNUMBER(O622),O622&lt;=設定!$C$4),1,0)</f>
        <v>0</v>
      </c>
      <c r="V622" t="str">
        <f ca="1">IF(U622=1,SUM($U$10:U622),"")</f>
        <v/>
      </c>
    </row>
    <row r="623" spans="2:22">
      <c r="B623" s="8" t="str">
        <f>IF(C623="","",COUNT($C$10:C623))</f>
        <v/>
      </c>
      <c r="C623" s="20"/>
      <c r="D623" s="11"/>
      <c r="E623" s="9"/>
      <c r="F623" s="21" t="str">
        <f>IF(E623="","",IFERROR(INDEX(食材マスタ!$D$10:$D$309,MATCH(E623,食材マスタ!$C$10:$C$309,0)),"※コード未登録"))</f>
        <v/>
      </c>
      <c r="G623" s="16"/>
      <c r="H623" s="8" t="str">
        <f>IF(E623="","",IFERROR(INDEX(食材マスタ!$H$10:$H$309,MATCH(E623,食材マスタ!$C$10:$C$309,0)),""))</f>
        <v/>
      </c>
      <c r="I623" s="15" t="str">
        <f>IF(E623="","",IFERROR(INDEX(食材マスタ!$K$10:$K$309,MATCH(E623,食材マスタ!$C$10:$C$309,0)),""))</f>
        <v/>
      </c>
      <c r="J623" s="15" t="str">
        <f t="shared" si="45"/>
        <v/>
      </c>
      <c r="K623" s="20"/>
      <c r="L623" s="8" t="str">
        <f t="shared" si="46"/>
        <v/>
      </c>
      <c r="M623" s="9"/>
      <c r="N623" s="13" t="str">
        <f t="shared" si="47"/>
        <v/>
      </c>
      <c r="O623" s="22" t="str">
        <f t="shared" ca="1" si="48"/>
        <v/>
      </c>
      <c r="P623" s="17" t="str">
        <f t="shared" si="49"/>
        <v/>
      </c>
      <c r="Q623" s="11"/>
      <c r="R623" s="19"/>
      <c r="S623" s="19"/>
      <c r="U623">
        <f ca="1">IF(AND(ISNUMBER(O623),O623&lt;=設定!$C$4),1,0)</f>
        <v>0</v>
      </c>
      <c r="V623" t="str">
        <f ca="1">IF(U623=1,SUM($U$10:U623),"")</f>
        <v/>
      </c>
    </row>
    <row r="624" spans="2:22">
      <c r="B624" s="8" t="str">
        <f>IF(C624="","",COUNT($C$10:C624))</f>
        <v/>
      </c>
      <c r="C624" s="20"/>
      <c r="D624" s="11"/>
      <c r="E624" s="9"/>
      <c r="F624" s="21" t="str">
        <f>IF(E624="","",IFERROR(INDEX(食材マスタ!$D$10:$D$309,MATCH(E624,食材マスタ!$C$10:$C$309,0)),"※コード未登録"))</f>
        <v/>
      </c>
      <c r="G624" s="16"/>
      <c r="H624" s="8" t="str">
        <f>IF(E624="","",IFERROR(INDEX(食材マスタ!$H$10:$H$309,MATCH(E624,食材マスタ!$C$10:$C$309,0)),""))</f>
        <v/>
      </c>
      <c r="I624" s="15" t="str">
        <f>IF(E624="","",IFERROR(INDEX(食材マスタ!$K$10:$K$309,MATCH(E624,食材マスタ!$C$10:$C$309,0)),""))</f>
        <v/>
      </c>
      <c r="J624" s="15" t="str">
        <f t="shared" si="45"/>
        <v/>
      </c>
      <c r="K624" s="20"/>
      <c r="L624" s="8" t="str">
        <f t="shared" si="46"/>
        <v/>
      </c>
      <c r="M624" s="9"/>
      <c r="N624" s="13" t="str">
        <f t="shared" si="47"/>
        <v/>
      </c>
      <c r="O624" s="22" t="str">
        <f t="shared" ca="1" si="48"/>
        <v/>
      </c>
      <c r="P624" s="17" t="str">
        <f t="shared" si="49"/>
        <v/>
      </c>
      <c r="Q624" s="11"/>
      <c r="R624" s="19"/>
      <c r="S624" s="19"/>
      <c r="U624">
        <f ca="1">IF(AND(ISNUMBER(O624),O624&lt;=設定!$C$4),1,0)</f>
        <v>0</v>
      </c>
      <c r="V624" t="str">
        <f ca="1">IF(U624=1,SUM($U$10:U624),"")</f>
        <v/>
      </c>
    </row>
    <row r="625" spans="2:22">
      <c r="B625" s="8" t="str">
        <f>IF(C625="","",COUNT($C$10:C625))</f>
        <v/>
      </c>
      <c r="C625" s="20"/>
      <c r="D625" s="11"/>
      <c r="E625" s="9"/>
      <c r="F625" s="21" t="str">
        <f>IF(E625="","",IFERROR(INDEX(食材マスタ!$D$10:$D$309,MATCH(E625,食材マスタ!$C$10:$C$309,0)),"※コード未登録"))</f>
        <v/>
      </c>
      <c r="G625" s="16"/>
      <c r="H625" s="8" t="str">
        <f>IF(E625="","",IFERROR(INDEX(食材マスタ!$H$10:$H$309,MATCH(E625,食材マスタ!$C$10:$C$309,0)),""))</f>
        <v/>
      </c>
      <c r="I625" s="15" t="str">
        <f>IF(E625="","",IFERROR(INDEX(食材マスタ!$K$10:$K$309,MATCH(E625,食材マスタ!$C$10:$C$309,0)),""))</f>
        <v/>
      </c>
      <c r="J625" s="15" t="str">
        <f t="shared" si="45"/>
        <v/>
      </c>
      <c r="K625" s="20"/>
      <c r="L625" s="8" t="str">
        <f t="shared" si="46"/>
        <v/>
      </c>
      <c r="M625" s="9"/>
      <c r="N625" s="13" t="str">
        <f t="shared" si="47"/>
        <v/>
      </c>
      <c r="O625" s="22" t="str">
        <f t="shared" ca="1" si="48"/>
        <v/>
      </c>
      <c r="P625" s="17" t="str">
        <f t="shared" si="49"/>
        <v/>
      </c>
      <c r="Q625" s="11"/>
      <c r="R625" s="19"/>
      <c r="S625" s="19"/>
      <c r="U625">
        <f ca="1">IF(AND(ISNUMBER(O625),O625&lt;=設定!$C$4),1,0)</f>
        <v>0</v>
      </c>
      <c r="V625" t="str">
        <f ca="1">IF(U625=1,SUM($U$10:U625),"")</f>
        <v/>
      </c>
    </row>
    <row r="626" spans="2:22">
      <c r="B626" s="8" t="str">
        <f>IF(C626="","",COUNT($C$10:C626))</f>
        <v/>
      </c>
      <c r="C626" s="20"/>
      <c r="D626" s="11"/>
      <c r="E626" s="9"/>
      <c r="F626" s="21" t="str">
        <f>IF(E626="","",IFERROR(INDEX(食材マスタ!$D$10:$D$309,MATCH(E626,食材マスタ!$C$10:$C$309,0)),"※コード未登録"))</f>
        <v/>
      </c>
      <c r="G626" s="16"/>
      <c r="H626" s="8" t="str">
        <f>IF(E626="","",IFERROR(INDEX(食材マスタ!$H$10:$H$309,MATCH(E626,食材マスタ!$C$10:$C$309,0)),""))</f>
        <v/>
      </c>
      <c r="I626" s="15" t="str">
        <f>IF(E626="","",IFERROR(INDEX(食材マスタ!$K$10:$K$309,MATCH(E626,食材マスタ!$C$10:$C$309,0)),""))</f>
        <v/>
      </c>
      <c r="J626" s="15" t="str">
        <f t="shared" si="45"/>
        <v/>
      </c>
      <c r="K626" s="20"/>
      <c r="L626" s="8" t="str">
        <f t="shared" si="46"/>
        <v/>
      </c>
      <c r="M626" s="9"/>
      <c r="N626" s="13" t="str">
        <f t="shared" si="47"/>
        <v/>
      </c>
      <c r="O626" s="22" t="str">
        <f t="shared" ca="1" si="48"/>
        <v/>
      </c>
      <c r="P626" s="17" t="str">
        <f t="shared" si="49"/>
        <v/>
      </c>
      <c r="Q626" s="11"/>
      <c r="R626" s="19"/>
      <c r="S626" s="19"/>
      <c r="U626">
        <f ca="1">IF(AND(ISNUMBER(O626),O626&lt;=設定!$C$4),1,0)</f>
        <v>0</v>
      </c>
      <c r="V626" t="str">
        <f ca="1">IF(U626=1,SUM($U$10:U626),"")</f>
        <v/>
      </c>
    </row>
    <row r="627" spans="2:22">
      <c r="B627" s="8" t="str">
        <f>IF(C627="","",COUNT($C$10:C627))</f>
        <v/>
      </c>
      <c r="C627" s="20"/>
      <c r="D627" s="11"/>
      <c r="E627" s="9"/>
      <c r="F627" s="21" t="str">
        <f>IF(E627="","",IFERROR(INDEX(食材マスタ!$D$10:$D$309,MATCH(E627,食材マスタ!$C$10:$C$309,0)),"※コード未登録"))</f>
        <v/>
      </c>
      <c r="G627" s="16"/>
      <c r="H627" s="8" t="str">
        <f>IF(E627="","",IFERROR(INDEX(食材マスタ!$H$10:$H$309,MATCH(E627,食材マスタ!$C$10:$C$309,0)),""))</f>
        <v/>
      </c>
      <c r="I627" s="15" t="str">
        <f>IF(E627="","",IFERROR(INDEX(食材マスタ!$K$10:$K$309,MATCH(E627,食材マスタ!$C$10:$C$309,0)),""))</f>
        <v/>
      </c>
      <c r="J627" s="15" t="str">
        <f t="shared" si="45"/>
        <v/>
      </c>
      <c r="K627" s="20"/>
      <c r="L627" s="8" t="str">
        <f t="shared" si="46"/>
        <v/>
      </c>
      <c r="M627" s="9"/>
      <c r="N627" s="13" t="str">
        <f t="shared" si="47"/>
        <v/>
      </c>
      <c r="O627" s="22" t="str">
        <f t="shared" ca="1" si="48"/>
        <v/>
      </c>
      <c r="P627" s="17" t="str">
        <f t="shared" si="49"/>
        <v/>
      </c>
      <c r="Q627" s="11"/>
      <c r="R627" s="19"/>
      <c r="S627" s="19"/>
      <c r="U627">
        <f ca="1">IF(AND(ISNUMBER(O627),O627&lt;=設定!$C$4),1,0)</f>
        <v>0</v>
      </c>
      <c r="V627" t="str">
        <f ca="1">IF(U627=1,SUM($U$10:U627),"")</f>
        <v/>
      </c>
    </row>
    <row r="628" spans="2:22">
      <c r="B628" s="8" t="str">
        <f>IF(C628="","",COUNT($C$10:C628))</f>
        <v/>
      </c>
      <c r="C628" s="20"/>
      <c r="D628" s="11"/>
      <c r="E628" s="9"/>
      <c r="F628" s="21" t="str">
        <f>IF(E628="","",IFERROR(INDEX(食材マスタ!$D$10:$D$309,MATCH(E628,食材マスタ!$C$10:$C$309,0)),"※コード未登録"))</f>
        <v/>
      </c>
      <c r="G628" s="16"/>
      <c r="H628" s="8" t="str">
        <f>IF(E628="","",IFERROR(INDEX(食材マスタ!$H$10:$H$309,MATCH(E628,食材マスタ!$C$10:$C$309,0)),""))</f>
        <v/>
      </c>
      <c r="I628" s="15" t="str">
        <f>IF(E628="","",IFERROR(INDEX(食材マスタ!$K$10:$K$309,MATCH(E628,食材マスタ!$C$10:$C$309,0)),""))</f>
        <v/>
      </c>
      <c r="J628" s="15" t="str">
        <f t="shared" si="45"/>
        <v/>
      </c>
      <c r="K628" s="20"/>
      <c r="L628" s="8" t="str">
        <f t="shared" si="46"/>
        <v/>
      </c>
      <c r="M628" s="9"/>
      <c r="N628" s="13" t="str">
        <f t="shared" si="47"/>
        <v/>
      </c>
      <c r="O628" s="22" t="str">
        <f t="shared" ca="1" si="48"/>
        <v/>
      </c>
      <c r="P628" s="17" t="str">
        <f t="shared" si="49"/>
        <v/>
      </c>
      <c r="Q628" s="11"/>
      <c r="R628" s="19"/>
      <c r="S628" s="19"/>
      <c r="U628">
        <f ca="1">IF(AND(ISNUMBER(O628),O628&lt;=設定!$C$4),1,0)</f>
        <v>0</v>
      </c>
      <c r="V628" t="str">
        <f ca="1">IF(U628=1,SUM($U$10:U628),"")</f>
        <v/>
      </c>
    </row>
    <row r="629" spans="2:22">
      <c r="B629" s="8" t="str">
        <f>IF(C629="","",COUNT($C$10:C629))</f>
        <v/>
      </c>
      <c r="C629" s="20"/>
      <c r="D629" s="11"/>
      <c r="E629" s="9"/>
      <c r="F629" s="21" t="str">
        <f>IF(E629="","",IFERROR(INDEX(食材マスタ!$D$10:$D$309,MATCH(E629,食材マスタ!$C$10:$C$309,0)),"※コード未登録"))</f>
        <v/>
      </c>
      <c r="G629" s="16"/>
      <c r="H629" s="8" t="str">
        <f>IF(E629="","",IFERROR(INDEX(食材マスタ!$H$10:$H$309,MATCH(E629,食材マスタ!$C$10:$C$309,0)),""))</f>
        <v/>
      </c>
      <c r="I629" s="15" t="str">
        <f>IF(E629="","",IFERROR(INDEX(食材マスタ!$K$10:$K$309,MATCH(E629,食材マスタ!$C$10:$C$309,0)),""))</f>
        <v/>
      </c>
      <c r="J629" s="15" t="str">
        <f t="shared" si="45"/>
        <v/>
      </c>
      <c r="K629" s="20"/>
      <c r="L629" s="8" t="str">
        <f t="shared" si="46"/>
        <v/>
      </c>
      <c r="M629" s="9"/>
      <c r="N629" s="13" t="str">
        <f t="shared" si="47"/>
        <v/>
      </c>
      <c r="O629" s="22" t="str">
        <f t="shared" ca="1" si="48"/>
        <v/>
      </c>
      <c r="P629" s="17" t="str">
        <f t="shared" si="49"/>
        <v/>
      </c>
      <c r="Q629" s="11"/>
      <c r="R629" s="19"/>
      <c r="S629" s="19"/>
      <c r="U629">
        <f ca="1">IF(AND(ISNUMBER(O629),O629&lt;=設定!$C$4),1,0)</f>
        <v>0</v>
      </c>
      <c r="V629" t="str">
        <f ca="1">IF(U629=1,SUM($U$10:U629),"")</f>
        <v/>
      </c>
    </row>
    <row r="630" spans="2:22">
      <c r="B630" s="8" t="str">
        <f>IF(C630="","",COUNT($C$10:C630))</f>
        <v/>
      </c>
      <c r="C630" s="20"/>
      <c r="D630" s="11"/>
      <c r="E630" s="9"/>
      <c r="F630" s="21" t="str">
        <f>IF(E630="","",IFERROR(INDEX(食材マスタ!$D$10:$D$309,MATCH(E630,食材マスタ!$C$10:$C$309,0)),"※コード未登録"))</f>
        <v/>
      </c>
      <c r="G630" s="16"/>
      <c r="H630" s="8" t="str">
        <f>IF(E630="","",IFERROR(INDEX(食材マスタ!$H$10:$H$309,MATCH(E630,食材マスタ!$C$10:$C$309,0)),""))</f>
        <v/>
      </c>
      <c r="I630" s="15" t="str">
        <f>IF(E630="","",IFERROR(INDEX(食材マスタ!$K$10:$K$309,MATCH(E630,食材マスタ!$C$10:$C$309,0)),""))</f>
        <v/>
      </c>
      <c r="J630" s="15" t="str">
        <f t="shared" si="45"/>
        <v/>
      </c>
      <c r="K630" s="20"/>
      <c r="L630" s="8" t="str">
        <f t="shared" si="46"/>
        <v/>
      </c>
      <c r="M630" s="9"/>
      <c r="N630" s="13" t="str">
        <f t="shared" si="47"/>
        <v/>
      </c>
      <c r="O630" s="22" t="str">
        <f t="shared" ca="1" si="48"/>
        <v/>
      </c>
      <c r="P630" s="17" t="str">
        <f t="shared" si="49"/>
        <v/>
      </c>
      <c r="Q630" s="11"/>
      <c r="R630" s="19"/>
      <c r="S630" s="19"/>
      <c r="U630">
        <f ca="1">IF(AND(ISNUMBER(O630),O630&lt;=設定!$C$4),1,0)</f>
        <v>0</v>
      </c>
      <c r="V630" t="str">
        <f ca="1">IF(U630=1,SUM($U$10:U630),"")</f>
        <v/>
      </c>
    </row>
    <row r="631" spans="2:22">
      <c r="B631" s="8" t="str">
        <f>IF(C631="","",COUNT($C$10:C631))</f>
        <v/>
      </c>
      <c r="C631" s="20"/>
      <c r="D631" s="11"/>
      <c r="E631" s="9"/>
      <c r="F631" s="21" t="str">
        <f>IF(E631="","",IFERROR(INDEX(食材マスタ!$D$10:$D$309,MATCH(E631,食材マスタ!$C$10:$C$309,0)),"※コード未登録"))</f>
        <v/>
      </c>
      <c r="G631" s="16"/>
      <c r="H631" s="8" t="str">
        <f>IF(E631="","",IFERROR(INDEX(食材マスタ!$H$10:$H$309,MATCH(E631,食材マスタ!$C$10:$C$309,0)),""))</f>
        <v/>
      </c>
      <c r="I631" s="15" t="str">
        <f>IF(E631="","",IFERROR(INDEX(食材マスタ!$K$10:$K$309,MATCH(E631,食材マスタ!$C$10:$C$309,0)),""))</f>
        <v/>
      </c>
      <c r="J631" s="15" t="str">
        <f t="shared" si="45"/>
        <v/>
      </c>
      <c r="K631" s="20"/>
      <c r="L631" s="8" t="str">
        <f t="shared" si="46"/>
        <v/>
      </c>
      <c r="M631" s="9"/>
      <c r="N631" s="13" t="str">
        <f t="shared" si="47"/>
        <v/>
      </c>
      <c r="O631" s="22" t="str">
        <f t="shared" ca="1" si="48"/>
        <v/>
      </c>
      <c r="P631" s="17" t="str">
        <f t="shared" si="49"/>
        <v/>
      </c>
      <c r="Q631" s="11"/>
      <c r="R631" s="19"/>
      <c r="S631" s="19"/>
      <c r="U631">
        <f ca="1">IF(AND(ISNUMBER(O631),O631&lt;=設定!$C$4),1,0)</f>
        <v>0</v>
      </c>
      <c r="V631" t="str">
        <f ca="1">IF(U631=1,SUM($U$10:U631),"")</f>
        <v/>
      </c>
    </row>
    <row r="632" spans="2:22">
      <c r="B632" s="8" t="str">
        <f>IF(C632="","",COUNT($C$10:C632))</f>
        <v/>
      </c>
      <c r="C632" s="20"/>
      <c r="D632" s="11"/>
      <c r="E632" s="9"/>
      <c r="F632" s="21" t="str">
        <f>IF(E632="","",IFERROR(INDEX(食材マスタ!$D$10:$D$309,MATCH(E632,食材マスタ!$C$10:$C$309,0)),"※コード未登録"))</f>
        <v/>
      </c>
      <c r="G632" s="16"/>
      <c r="H632" s="8" t="str">
        <f>IF(E632="","",IFERROR(INDEX(食材マスタ!$H$10:$H$309,MATCH(E632,食材マスタ!$C$10:$C$309,0)),""))</f>
        <v/>
      </c>
      <c r="I632" s="15" t="str">
        <f>IF(E632="","",IFERROR(INDEX(食材マスタ!$K$10:$K$309,MATCH(E632,食材マスタ!$C$10:$C$309,0)),""))</f>
        <v/>
      </c>
      <c r="J632" s="15" t="str">
        <f t="shared" si="45"/>
        <v/>
      </c>
      <c r="K632" s="20"/>
      <c r="L632" s="8" t="str">
        <f t="shared" si="46"/>
        <v/>
      </c>
      <c r="M632" s="9"/>
      <c r="N632" s="13" t="str">
        <f t="shared" si="47"/>
        <v/>
      </c>
      <c r="O632" s="22" t="str">
        <f t="shared" ca="1" si="48"/>
        <v/>
      </c>
      <c r="P632" s="17" t="str">
        <f t="shared" si="49"/>
        <v/>
      </c>
      <c r="Q632" s="11"/>
      <c r="R632" s="19"/>
      <c r="S632" s="19"/>
      <c r="U632">
        <f ca="1">IF(AND(ISNUMBER(O632),O632&lt;=設定!$C$4),1,0)</f>
        <v>0</v>
      </c>
      <c r="V632" t="str">
        <f ca="1">IF(U632=1,SUM($U$10:U632),"")</f>
        <v/>
      </c>
    </row>
    <row r="633" spans="2:22">
      <c r="B633" s="8" t="str">
        <f>IF(C633="","",COUNT($C$10:C633))</f>
        <v/>
      </c>
      <c r="C633" s="20"/>
      <c r="D633" s="11"/>
      <c r="E633" s="9"/>
      <c r="F633" s="21" t="str">
        <f>IF(E633="","",IFERROR(INDEX(食材マスタ!$D$10:$D$309,MATCH(E633,食材マスタ!$C$10:$C$309,0)),"※コード未登録"))</f>
        <v/>
      </c>
      <c r="G633" s="16"/>
      <c r="H633" s="8" t="str">
        <f>IF(E633="","",IFERROR(INDEX(食材マスタ!$H$10:$H$309,MATCH(E633,食材マスタ!$C$10:$C$309,0)),""))</f>
        <v/>
      </c>
      <c r="I633" s="15" t="str">
        <f>IF(E633="","",IFERROR(INDEX(食材マスタ!$K$10:$K$309,MATCH(E633,食材マスタ!$C$10:$C$309,0)),""))</f>
        <v/>
      </c>
      <c r="J633" s="15" t="str">
        <f t="shared" si="45"/>
        <v/>
      </c>
      <c r="K633" s="20"/>
      <c r="L633" s="8" t="str">
        <f t="shared" si="46"/>
        <v/>
      </c>
      <c r="M633" s="9"/>
      <c r="N633" s="13" t="str">
        <f t="shared" si="47"/>
        <v/>
      </c>
      <c r="O633" s="22" t="str">
        <f t="shared" ca="1" si="48"/>
        <v/>
      </c>
      <c r="P633" s="17" t="str">
        <f t="shared" si="49"/>
        <v/>
      </c>
      <c r="Q633" s="11"/>
      <c r="R633" s="19"/>
      <c r="S633" s="19"/>
      <c r="U633">
        <f ca="1">IF(AND(ISNUMBER(O633),O633&lt;=設定!$C$4),1,0)</f>
        <v>0</v>
      </c>
      <c r="V633" t="str">
        <f ca="1">IF(U633=1,SUM($U$10:U633),"")</f>
        <v/>
      </c>
    </row>
    <row r="634" spans="2:22">
      <c r="B634" s="8" t="str">
        <f>IF(C634="","",COUNT($C$10:C634))</f>
        <v/>
      </c>
      <c r="C634" s="20"/>
      <c r="D634" s="11"/>
      <c r="E634" s="9"/>
      <c r="F634" s="21" t="str">
        <f>IF(E634="","",IFERROR(INDEX(食材マスタ!$D$10:$D$309,MATCH(E634,食材マスタ!$C$10:$C$309,0)),"※コード未登録"))</f>
        <v/>
      </c>
      <c r="G634" s="16"/>
      <c r="H634" s="8" t="str">
        <f>IF(E634="","",IFERROR(INDEX(食材マスタ!$H$10:$H$309,MATCH(E634,食材マスタ!$C$10:$C$309,0)),""))</f>
        <v/>
      </c>
      <c r="I634" s="15" t="str">
        <f>IF(E634="","",IFERROR(INDEX(食材マスタ!$K$10:$K$309,MATCH(E634,食材マスタ!$C$10:$C$309,0)),""))</f>
        <v/>
      </c>
      <c r="J634" s="15" t="str">
        <f t="shared" si="45"/>
        <v/>
      </c>
      <c r="K634" s="20"/>
      <c r="L634" s="8" t="str">
        <f t="shared" si="46"/>
        <v/>
      </c>
      <c r="M634" s="9"/>
      <c r="N634" s="13" t="str">
        <f t="shared" si="47"/>
        <v/>
      </c>
      <c r="O634" s="22" t="str">
        <f t="shared" ca="1" si="48"/>
        <v/>
      </c>
      <c r="P634" s="17" t="str">
        <f t="shared" si="49"/>
        <v/>
      </c>
      <c r="Q634" s="11"/>
      <c r="R634" s="19"/>
      <c r="S634" s="19"/>
      <c r="U634">
        <f ca="1">IF(AND(ISNUMBER(O634),O634&lt;=設定!$C$4),1,0)</f>
        <v>0</v>
      </c>
      <c r="V634" t="str">
        <f ca="1">IF(U634=1,SUM($U$10:U634),"")</f>
        <v/>
      </c>
    </row>
    <row r="635" spans="2:22">
      <c r="B635" s="8" t="str">
        <f>IF(C635="","",COUNT($C$10:C635))</f>
        <v/>
      </c>
      <c r="C635" s="20"/>
      <c r="D635" s="11"/>
      <c r="E635" s="9"/>
      <c r="F635" s="21" t="str">
        <f>IF(E635="","",IFERROR(INDEX(食材マスタ!$D$10:$D$309,MATCH(E635,食材マスタ!$C$10:$C$309,0)),"※コード未登録"))</f>
        <v/>
      </c>
      <c r="G635" s="16"/>
      <c r="H635" s="8" t="str">
        <f>IF(E635="","",IFERROR(INDEX(食材マスタ!$H$10:$H$309,MATCH(E635,食材マスタ!$C$10:$C$309,0)),""))</f>
        <v/>
      </c>
      <c r="I635" s="15" t="str">
        <f>IF(E635="","",IFERROR(INDEX(食材マスタ!$K$10:$K$309,MATCH(E635,食材マスタ!$C$10:$C$309,0)),""))</f>
        <v/>
      </c>
      <c r="J635" s="15" t="str">
        <f t="shared" si="45"/>
        <v/>
      </c>
      <c r="K635" s="20"/>
      <c r="L635" s="8" t="str">
        <f t="shared" si="46"/>
        <v/>
      </c>
      <c r="M635" s="9"/>
      <c r="N635" s="13" t="str">
        <f t="shared" si="47"/>
        <v/>
      </c>
      <c r="O635" s="22" t="str">
        <f t="shared" ca="1" si="48"/>
        <v/>
      </c>
      <c r="P635" s="17" t="str">
        <f t="shared" si="49"/>
        <v/>
      </c>
      <c r="Q635" s="11"/>
      <c r="R635" s="19"/>
      <c r="S635" s="19"/>
      <c r="U635">
        <f ca="1">IF(AND(ISNUMBER(O635),O635&lt;=設定!$C$4),1,0)</f>
        <v>0</v>
      </c>
      <c r="V635" t="str">
        <f ca="1">IF(U635=1,SUM($U$10:U635),"")</f>
        <v/>
      </c>
    </row>
    <row r="636" spans="2:22">
      <c r="B636" s="8" t="str">
        <f>IF(C636="","",COUNT($C$10:C636))</f>
        <v/>
      </c>
      <c r="C636" s="20"/>
      <c r="D636" s="11"/>
      <c r="E636" s="9"/>
      <c r="F636" s="21" t="str">
        <f>IF(E636="","",IFERROR(INDEX(食材マスタ!$D$10:$D$309,MATCH(E636,食材マスタ!$C$10:$C$309,0)),"※コード未登録"))</f>
        <v/>
      </c>
      <c r="G636" s="16"/>
      <c r="H636" s="8" t="str">
        <f>IF(E636="","",IFERROR(INDEX(食材マスタ!$H$10:$H$309,MATCH(E636,食材マスタ!$C$10:$C$309,0)),""))</f>
        <v/>
      </c>
      <c r="I636" s="15" t="str">
        <f>IF(E636="","",IFERROR(INDEX(食材マスタ!$K$10:$K$309,MATCH(E636,食材マスタ!$C$10:$C$309,0)),""))</f>
        <v/>
      </c>
      <c r="J636" s="15" t="str">
        <f t="shared" si="45"/>
        <v/>
      </c>
      <c r="K636" s="20"/>
      <c r="L636" s="8" t="str">
        <f t="shared" si="46"/>
        <v/>
      </c>
      <c r="M636" s="9"/>
      <c r="N636" s="13" t="str">
        <f t="shared" si="47"/>
        <v/>
      </c>
      <c r="O636" s="22" t="str">
        <f t="shared" ca="1" si="48"/>
        <v/>
      </c>
      <c r="P636" s="17" t="str">
        <f t="shared" si="49"/>
        <v/>
      </c>
      <c r="Q636" s="11"/>
      <c r="R636" s="19"/>
      <c r="S636" s="19"/>
      <c r="U636">
        <f ca="1">IF(AND(ISNUMBER(O636),O636&lt;=設定!$C$4),1,0)</f>
        <v>0</v>
      </c>
      <c r="V636" t="str">
        <f ca="1">IF(U636=1,SUM($U$10:U636),"")</f>
        <v/>
      </c>
    </row>
    <row r="637" spans="2:22">
      <c r="B637" s="8" t="str">
        <f>IF(C637="","",COUNT($C$10:C637))</f>
        <v/>
      </c>
      <c r="C637" s="20"/>
      <c r="D637" s="11"/>
      <c r="E637" s="9"/>
      <c r="F637" s="21" t="str">
        <f>IF(E637="","",IFERROR(INDEX(食材マスタ!$D$10:$D$309,MATCH(E637,食材マスタ!$C$10:$C$309,0)),"※コード未登録"))</f>
        <v/>
      </c>
      <c r="G637" s="16"/>
      <c r="H637" s="8" t="str">
        <f>IF(E637="","",IFERROR(INDEX(食材マスタ!$H$10:$H$309,MATCH(E637,食材マスタ!$C$10:$C$309,0)),""))</f>
        <v/>
      </c>
      <c r="I637" s="15" t="str">
        <f>IF(E637="","",IFERROR(INDEX(食材マスタ!$K$10:$K$309,MATCH(E637,食材マスタ!$C$10:$C$309,0)),""))</f>
        <v/>
      </c>
      <c r="J637" s="15" t="str">
        <f t="shared" si="45"/>
        <v/>
      </c>
      <c r="K637" s="20"/>
      <c r="L637" s="8" t="str">
        <f t="shared" si="46"/>
        <v/>
      </c>
      <c r="M637" s="9"/>
      <c r="N637" s="13" t="str">
        <f t="shared" si="47"/>
        <v/>
      </c>
      <c r="O637" s="22" t="str">
        <f t="shared" ca="1" si="48"/>
        <v/>
      </c>
      <c r="P637" s="17" t="str">
        <f t="shared" si="49"/>
        <v/>
      </c>
      <c r="Q637" s="11"/>
      <c r="R637" s="19"/>
      <c r="S637" s="19"/>
      <c r="U637">
        <f ca="1">IF(AND(ISNUMBER(O637),O637&lt;=設定!$C$4),1,0)</f>
        <v>0</v>
      </c>
      <c r="V637" t="str">
        <f ca="1">IF(U637=1,SUM($U$10:U637),"")</f>
        <v/>
      </c>
    </row>
    <row r="638" spans="2:22">
      <c r="B638" s="8" t="str">
        <f>IF(C638="","",COUNT($C$10:C638))</f>
        <v/>
      </c>
      <c r="C638" s="20"/>
      <c r="D638" s="11"/>
      <c r="E638" s="9"/>
      <c r="F638" s="21" t="str">
        <f>IF(E638="","",IFERROR(INDEX(食材マスタ!$D$10:$D$309,MATCH(E638,食材マスタ!$C$10:$C$309,0)),"※コード未登録"))</f>
        <v/>
      </c>
      <c r="G638" s="16"/>
      <c r="H638" s="8" t="str">
        <f>IF(E638="","",IFERROR(INDEX(食材マスタ!$H$10:$H$309,MATCH(E638,食材マスタ!$C$10:$C$309,0)),""))</f>
        <v/>
      </c>
      <c r="I638" s="15" t="str">
        <f>IF(E638="","",IFERROR(INDEX(食材マスタ!$K$10:$K$309,MATCH(E638,食材マスタ!$C$10:$C$309,0)),""))</f>
        <v/>
      </c>
      <c r="J638" s="15" t="str">
        <f t="shared" si="45"/>
        <v/>
      </c>
      <c r="K638" s="20"/>
      <c r="L638" s="8" t="str">
        <f t="shared" si="46"/>
        <v/>
      </c>
      <c r="M638" s="9"/>
      <c r="N638" s="13" t="str">
        <f t="shared" si="47"/>
        <v/>
      </c>
      <c r="O638" s="22" t="str">
        <f t="shared" ca="1" si="48"/>
        <v/>
      </c>
      <c r="P638" s="17" t="str">
        <f t="shared" si="49"/>
        <v/>
      </c>
      <c r="Q638" s="11"/>
      <c r="R638" s="19"/>
      <c r="S638" s="19"/>
      <c r="U638">
        <f ca="1">IF(AND(ISNUMBER(O638),O638&lt;=設定!$C$4),1,0)</f>
        <v>0</v>
      </c>
      <c r="V638" t="str">
        <f ca="1">IF(U638=1,SUM($U$10:U638),"")</f>
        <v/>
      </c>
    </row>
    <row r="639" spans="2:22">
      <c r="B639" s="8" t="str">
        <f>IF(C639="","",COUNT($C$10:C639))</f>
        <v/>
      </c>
      <c r="C639" s="20"/>
      <c r="D639" s="11"/>
      <c r="E639" s="9"/>
      <c r="F639" s="21" t="str">
        <f>IF(E639="","",IFERROR(INDEX(食材マスタ!$D$10:$D$309,MATCH(E639,食材マスタ!$C$10:$C$309,0)),"※コード未登録"))</f>
        <v/>
      </c>
      <c r="G639" s="16"/>
      <c r="H639" s="8" t="str">
        <f>IF(E639="","",IFERROR(INDEX(食材マスタ!$H$10:$H$309,MATCH(E639,食材マスタ!$C$10:$C$309,0)),""))</f>
        <v/>
      </c>
      <c r="I639" s="15" t="str">
        <f>IF(E639="","",IFERROR(INDEX(食材マスタ!$K$10:$K$309,MATCH(E639,食材マスタ!$C$10:$C$309,0)),""))</f>
        <v/>
      </c>
      <c r="J639" s="15" t="str">
        <f t="shared" si="45"/>
        <v/>
      </c>
      <c r="K639" s="20"/>
      <c r="L639" s="8" t="str">
        <f t="shared" si="46"/>
        <v/>
      </c>
      <c r="M639" s="9"/>
      <c r="N639" s="13" t="str">
        <f t="shared" si="47"/>
        <v/>
      </c>
      <c r="O639" s="22" t="str">
        <f t="shared" ca="1" si="48"/>
        <v/>
      </c>
      <c r="P639" s="17" t="str">
        <f t="shared" si="49"/>
        <v/>
      </c>
      <c r="Q639" s="11"/>
      <c r="R639" s="19"/>
      <c r="S639" s="19"/>
      <c r="U639">
        <f ca="1">IF(AND(ISNUMBER(O639),O639&lt;=設定!$C$4),1,0)</f>
        <v>0</v>
      </c>
      <c r="V639" t="str">
        <f ca="1">IF(U639=1,SUM($U$10:U639),"")</f>
        <v/>
      </c>
    </row>
    <row r="640" spans="2:22">
      <c r="B640" s="8" t="str">
        <f>IF(C640="","",COUNT($C$10:C640))</f>
        <v/>
      </c>
      <c r="C640" s="20"/>
      <c r="D640" s="11"/>
      <c r="E640" s="9"/>
      <c r="F640" s="21" t="str">
        <f>IF(E640="","",IFERROR(INDEX(食材マスタ!$D$10:$D$309,MATCH(E640,食材マスタ!$C$10:$C$309,0)),"※コード未登録"))</f>
        <v/>
      </c>
      <c r="G640" s="16"/>
      <c r="H640" s="8" t="str">
        <f>IF(E640="","",IFERROR(INDEX(食材マスタ!$H$10:$H$309,MATCH(E640,食材マスタ!$C$10:$C$309,0)),""))</f>
        <v/>
      </c>
      <c r="I640" s="15" t="str">
        <f>IF(E640="","",IFERROR(INDEX(食材マスタ!$K$10:$K$309,MATCH(E640,食材マスタ!$C$10:$C$309,0)),""))</f>
        <v/>
      </c>
      <c r="J640" s="15" t="str">
        <f t="shared" si="45"/>
        <v/>
      </c>
      <c r="K640" s="20"/>
      <c r="L640" s="8" t="str">
        <f t="shared" si="46"/>
        <v/>
      </c>
      <c r="M640" s="9"/>
      <c r="N640" s="13" t="str">
        <f t="shared" si="47"/>
        <v/>
      </c>
      <c r="O640" s="22" t="str">
        <f t="shared" ca="1" si="48"/>
        <v/>
      </c>
      <c r="P640" s="17" t="str">
        <f t="shared" si="49"/>
        <v/>
      </c>
      <c r="Q640" s="11"/>
      <c r="R640" s="19"/>
      <c r="S640" s="19"/>
      <c r="U640">
        <f ca="1">IF(AND(ISNUMBER(O640),O640&lt;=設定!$C$4),1,0)</f>
        <v>0</v>
      </c>
      <c r="V640" t="str">
        <f ca="1">IF(U640=1,SUM($U$10:U640),"")</f>
        <v/>
      </c>
    </row>
    <row r="641" spans="2:22">
      <c r="B641" s="8" t="str">
        <f>IF(C641="","",COUNT($C$10:C641))</f>
        <v/>
      </c>
      <c r="C641" s="20"/>
      <c r="D641" s="11"/>
      <c r="E641" s="9"/>
      <c r="F641" s="21" t="str">
        <f>IF(E641="","",IFERROR(INDEX(食材マスタ!$D$10:$D$309,MATCH(E641,食材マスタ!$C$10:$C$309,0)),"※コード未登録"))</f>
        <v/>
      </c>
      <c r="G641" s="16"/>
      <c r="H641" s="8" t="str">
        <f>IF(E641="","",IFERROR(INDEX(食材マスタ!$H$10:$H$309,MATCH(E641,食材マスタ!$C$10:$C$309,0)),""))</f>
        <v/>
      </c>
      <c r="I641" s="15" t="str">
        <f>IF(E641="","",IFERROR(INDEX(食材マスタ!$K$10:$K$309,MATCH(E641,食材マスタ!$C$10:$C$309,0)),""))</f>
        <v/>
      </c>
      <c r="J641" s="15" t="str">
        <f t="shared" si="45"/>
        <v/>
      </c>
      <c r="K641" s="20"/>
      <c r="L641" s="8" t="str">
        <f t="shared" si="46"/>
        <v/>
      </c>
      <c r="M641" s="9"/>
      <c r="N641" s="13" t="str">
        <f t="shared" si="47"/>
        <v/>
      </c>
      <c r="O641" s="22" t="str">
        <f t="shared" ca="1" si="48"/>
        <v/>
      </c>
      <c r="P641" s="17" t="str">
        <f t="shared" si="49"/>
        <v/>
      </c>
      <c r="Q641" s="11"/>
      <c r="R641" s="19"/>
      <c r="S641" s="19"/>
      <c r="U641">
        <f ca="1">IF(AND(ISNUMBER(O641),O641&lt;=設定!$C$4),1,0)</f>
        <v>0</v>
      </c>
      <c r="V641" t="str">
        <f ca="1">IF(U641=1,SUM($U$10:U641),"")</f>
        <v/>
      </c>
    </row>
    <row r="642" spans="2:22">
      <c r="B642" s="8" t="str">
        <f>IF(C642="","",COUNT($C$10:C642))</f>
        <v/>
      </c>
      <c r="C642" s="20"/>
      <c r="D642" s="11"/>
      <c r="E642" s="9"/>
      <c r="F642" s="21" t="str">
        <f>IF(E642="","",IFERROR(INDEX(食材マスタ!$D$10:$D$309,MATCH(E642,食材マスタ!$C$10:$C$309,0)),"※コード未登録"))</f>
        <v/>
      </c>
      <c r="G642" s="16"/>
      <c r="H642" s="8" t="str">
        <f>IF(E642="","",IFERROR(INDEX(食材マスタ!$H$10:$H$309,MATCH(E642,食材マスタ!$C$10:$C$309,0)),""))</f>
        <v/>
      </c>
      <c r="I642" s="15" t="str">
        <f>IF(E642="","",IFERROR(INDEX(食材マスタ!$K$10:$K$309,MATCH(E642,食材マスタ!$C$10:$C$309,0)),""))</f>
        <v/>
      </c>
      <c r="J642" s="15" t="str">
        <f t="shared" si="45"/>
        <v/>
      </c>
      <c r="K642" s="20"/>
      <c r="L642" s="8" t="str">
        <f t="shared" si="46"/>
        <v/>
      </c>
      <c r="M642" s="9"/>
      <c r="N642" s="13" t="str">
        <f t="shared" si="47"/>
        <v/>
      </c>
      <c r="O642" s="22" t="str">
        <f t="shared" ca="1" si="48"/>
        <v/>
      </c>
      <c r="P642" s="17" t="str">
        <f t="shared" si="49"/>
        <v/>
      </c>
      <c r="Q642" s="11"/>
      <c r="R642" s="19"/>
      <c r="S642" s="19"/>
      <c r="U642">
        <f ca="1">IF(AND(ISNUMBER(O642),O642&lt;=設定!$C$4),1,0)</f>
        <v>0</v>
      </c>
      <c r="V642" t="str">
        <f ca="1">IF(U642=1,SUM($U$10:U642),"")</f>
        <v/>
      </c>
    </row>
    <row r="643" spans="2:22">
      <c r="B643" s="8" t="str">
        <f>IF(C643="","",COUNT($C$10:C643))</f>
        <v/>
      </c>
      <c r="C643" s="20"/>
      <c r="D643" s="11"/>
      <c r="E643" s="9"/>
      <c r="F643" s="21" t="str">
        <f>IF(E643="","",IFERROR(INDEX(食材マスタ!$D$10:$D$309,MATCH(E643,食材マスタ!$C$10:$C$309,0)),"※コード未登録"))</f>
        <v/>
      </c>
      <c r="G643" s="16"/>
      <c r="H643" s="8" t="str">
        <f>IF(E643="","",IFERROR(INDEX(食材マスタ!$H$10:$H$309,MATCH(E643,食材マスタ!$C$10:$C$309,0)),""))</f>
        <v/>
      </c>
      <c r="I643" s="15" t="str">
        <f>IF(E643="","",IFERROR(INDEX(食材マスタ!$K$10:$K$309,MATCH(E643,食材マスタ!$C$10:$C$309,0)),""))</f>
        <v/>
      </c>
      <c r="J643" s="15" t="str">
        <f t="shared" si="45"/>
        <v/>
      </c>
      <c r="K643" s="20"/>
      <c r="L643" s="8" t="str">
        <f t="shared" si="46"/>
        <v/>
      </c>
      <c r="M643" s="9"/>
      <c r="N643" s="13" t="str">
        <f t="shared" si="47"/>
        <v/>
      </c>
      <c r="O643" s="22" t="str">
        <f t="shared" ca="1" si="48"/>
        <v/>
      </c>
      <c r="P643" s="17" t="str">
        <f t="shared" si="49"/>
        <v/>
      </c>
      <c r="Q643" s="11"/>
      <c r="R643" s="19"/>
      <c r="S643" s="19"/>
      <c r="U643">
        <f ca="1">IF(AND(ISNUMBER(O643),O643&lt;=設定!$C$4),1,0)</f>
        <v>0</v>
      </c>
      <c r="V643" t="str">
        <f ca="1">IF(U643=1,SUM($U$10:U643),"")</f>
        <v/>
      </c>
    </row>
    <row r="644" spans="2:22">
      <c r="B644" s="8" t="str">
        <f>IF(C644="","",COUNT($C$10:C644))</f>
        <v/>
      </c>
      <c r="C644" s="20"/>
      <c r="D644" s="11"/>
      <c r="E644" s="9"/>
      <c r="F644" s="21" t="str">
        <f>IF(E644="","",IFERROR(INDEX(食材マスタ!$D$10:$D$309,MATCH(E644,食材マスタ!$C$10:$C$309,0)),"※コード未登録"))</f>
        <v/>
      </c>
      <c r="G644" s="16"/>
      <c r="H644" s="8" t="str">
        <f>IF(E644="","",IFERROR(INDEX(食材マスタ!$H$10:$H$309,MATCH(E644,食材マスタ!$C$10:$C$309,0)),""))</f>
        <v/>
      </c>
      <c r="I644" s="15" t="str">
        <f>IF(E644="","",IFERROR(INDEX(食材マスタ!$K$10:$K$309,MATCH(E644,食材マスタ!$C$10:$C$309,0)),""))</f>
        <v/>
      </c>
      <c r="J644" s="15" t="str">
        <f t="shared" si="45"/>
        <v/>
      </c>
      <c r="K644" s="20"/>
      <c r="L644" s="8" t="str">
        <f t="shared" si="46"/>
        <v/>
      </c>
      <c r="M644" s="9"/>
      <c r="N644" s="13" t="str">
        <f t="shared" si="47"/>
        <v/>
      </c>
      <c r="O644" s="22" t="str">
        <f t="shared" ca="1" si="48"/>
        <v/>
      </c>
      <c r="P644" s="17" t="str">
        <f t="shared" si="49"/>
        <v/>
      </c>
      <c r="Q644" s="11"/>
      <c r="R644" s="19"/>
      <c r="S644" s="19"/>
      <c r="U644">
        <f ca="1">IF(AND(ISNUMBER(O644),O644&lt;=設定!$C$4),1,0)</f>
        <v>0</v>
      </c>
      <c r="V644" t="str">
        <f ca="1">IF(U644=1,SUM($U$10:U644),"")</f>
        <v/>
      </c>
    </row>
    <row r="645" spans="2:22">
      <c r="B645" s="8" t="str">
        <f>IF(C645="","",COUNT($C$10:C645))</f>
        <v/>
      </c>
      <c r="C645" s="20"/>
      <c r="D645" s="11"/>
      <c r="E645" s="9"/>
      <c r="F645" s="21" t="str">
        <f>IF(E645="","",IFERROR(INDEX(食材マスタ!$D$10:$D$309,MATCH(E645,食材マスタ!$C$10:$C$309,0)),"※コード未登録"))</f>
        <v/>
      </c>
      <c r="G645" s="16"/>
      <c r="H645" s="8" t="str">
        <f>IF(E645="","",IFERROR(INDEX(食材マスタ!$H$10:$H$309,MATCH(E645,食材マスタ!$C$10:$C$309,0)),""))</f>
        <v/>
      </c>
      <c r="I645" s="15" t="str">
        <f>IF(E645="","",IFERROR(INDEX(食材マスタ!$K$10:$K$309,MATCH(E645,食材マスタ!$C$10:$C$309,0)),""))</f>
        <v/>
      </c>
      <c r="J645" s="15" t="str">
        <f t="shared" si="45"/>
        <v/>
      </c>
      <c r="K645" s="20"/>
      <c r="L645" s="8" t="str">
        <f t="shared" si="46"/>
        <v/>
      </c>
      <c r="M645" s="9"/>
      <c r="N645" s="13" t="str">
        <f t="shared" si="47"/>
        <v/>
      </c>
      <c r="O645" s="22" t="str">
        <f t="shared" ca="1" si="48"/>
        <v/>
      </c>
      <c r="P645" s="17" t="str">
        <f t="shared" si="49"/>
        <v/>
      </c>
      <c r="Q645" s="11"/>
      <c r="R645" s="19"/>
      <c r="S645" s="19"/>
      <c r="U645">
        <f ca="1">IF(AND(ISNUMBER(O645),O645&lt;=設定!$C$4),1,0)</f>
        <v>0</v>
      </c>
      <c r="V645" t="str">
        <f ca="1">IF(U645=1,SUM($U$10:U645),"")</f>
        <v/>
      </c>
    </row>
    <row r="646" spans="2:22">
      <c r="B646" s="8" t="str">
        <f>IF(C646="","",COUNT($C$10:C646))</f>
        <v/>
      </c>
      <c r="C646" s="20"/>
      <c r="D646" s="11"/>
      <c r="E646" s="9"/>
      <c r="F646" s="21" t="str">
        <f>IF(E646="","",IFERROR(INDEX(食材マスタ!$D$10:$D$309,MATCH(E646,食材マスタ!$C$10:$C$309,0)),"※コード未登録"))</f>
        <v/>
      </c>
      <c r="G646" s="16"/>
      <c r="H646" s="8" t="str">
        <f>IF(E646="","",IFERROR(INDEX(食材マスタ!$H$10:$H$309,MATCH(E646,食材マスタ!$C$10:$C$309,0)),""))</f>
        <v/>
      </c>
      <c r="I646" s="15" t="str">
        <f>IF(E646="","",IFERROR(INDEX(食材マスタ!$K$10:$K$309,MATCH(E646,食材マスタ!$C$10:$C$309,0)),""))</f>
        <v/>
      </c>
      <c r="J646" s="15" t="str">
        <f t="shared" si="45"/>
        <v/>
      </c>
      <c r="K646" s="20"/>
      <c r="L646" s="8" t="str">
        <f t="shared" si="46"/>
        <v/>
      </c>
      <c r="M646" s="9"/>
      <c r="N646" s="13" t="str">
        <f t="shared" si="47"/>
        <v/>
      </c>
      <c r="O646" s="22" t="str">
        <f t="shared" ca="1" si="48"/>
        <v/>
      </c>
      <c r="P646" s="17" t="str">
        <f t="shared" si="49"/>
        <v/>
      </c>
      <c r="Q646" s="11"/>
      <c r="R646" s="19"/>
      <c r="S646" s="19"/>
      <c r="U646">
        <f ca="1">IF(AND(ISNUMBER(O646),O646&lt;=設定!$C$4),1,0)</f>
        <v>0</v>
      </c>
      <c r="V646" t="str">
        <f ca="1">IF(U646=1,SUM($U$10:U646),"")</f>
        <v/>
      </c>
    </row>
    <row r="647" spans="2:22">
      <c r="B647" s="8" t="str">
        <f>IF(C647="","",COUNT($C$10:C647))</f>
        <v/>
      </c>
      <c r="C647" s="20"/>
      <c r="D647" s="11"/>
      <c r="E647" s="9"/>
      <c r="F647" s="21" t="str">
        <f>IF(E647="","",IFERROR(INDEX(食材マスタ!$D$10:$D$309,MATCH(E647,食材マスタ!$C$10:$C$309,0)),"※コード未登録"))</f>
        <v/>
      </c>
      <c r="G647" s="16"/>
      <c r="H647" s="8" t="str">
        <f>IF(E647="","",IFERROR(INDEX(食材マスタ!$H$10:$H$309,MATCH(E647,食材マスタ!$C$10:$C$309,0)),""))</f>
        <v/>
      </c>
      <c r="I647" s="15" t="str">
        <f>IF(E647="","",IFERROR(INDEX(食材マスタ!$K$10:$K$309,MATCH(E647,食材マスタ!$C$10:$C$309,0)),""))</f>
        <v/>
      </c>
      <c r="J647" s="15" t="str">
        <f t="shared" si="45"/>
        <v/>
      </c>
      <c r="K647" s="20"/>
      <c r="L647" s="8" t="str">
        <f t="shared" si="46"/>
        <v/>
      </c>
      <c r="M647" s="9"/>
      <c r="N647" s="13" t="str">
        <f t="shared" si="47"/>
        <v/>
      </c>
      <c r="O647" s="22" t="str">
        <f t="shared" ca="1" si="48"/>
        <v/>
      </c>
      <c r="P647" s="17" t="str">
        <f t="shared" si="49"/>
        <v/>
      </c>
      <c r="Q647" s="11"/>
      <c r="R647" s="19"/>
      <c r="S647" s="19"/>
      <c r="U647">
        <f ca="1">IF(AND(ISNUMBER(O647),O647&lt;=設定!$C$4),1,0)</f>
        <v>0</v>
      </c>
      <c r="V647" t="str">
        <f ca="1">IF(U647=1,SUM($U$10:U647),"")</f>
        <v/>
      </c>
    </row>
    <row r="648" spans="2:22">
      <c r="B648" s="8" t="str">
        <f>IF(C648="","",COUNT($C$10:C648))</f>
        <v/>
      </c>
      <c r="C648" s="20"/>
      <c r="D648" s="11"/>
      <c r="E648" s="9"/>
      <c r="F648" s="21" t="str">
        <f>IF(E648="","",IFERROR(INDEX(食材マスタ!$D$10:$D$309,MATCH(E648,食材マスタ!$C$10:$C$309,0)),"※コード未登録"))</f>
        <v/>
      </c>
      <c r="G648" s="16"/>
      <c r="H648" s="8" t="str">
        <f>IF(E648="","",IFERROR(INDEX(食材マスタ!$H$10:$H$309,MATCH(E648,食材マスタ!$C$10:$C$309,0)),""))</f>
        <v/>
      </c>
      <c r="I648" s="15" t="str">
        <f>IF(E648="","",IFERROR(INDEX(食材マスタ!$K$10:$K$309,MATCH(E648,食材マスタ!$C$10:$C$309,0)),""))</f>
        <v/>
      </c>
      <c r="J648" s="15" t="str">
        <f t="shared" si="45"/>
        <v/>
      </c>
      <c r="K648" s="20"/>
      <c r="L648" s="8" t="str">
        <f t="shared" si="46"/>
        <v/>
      </c>
      <c r="M648" s="9"/>
      <c r="N648" s="13" t="str">
        <f t="shared" si="47"/>
        <v/>
      </c>
      <c r="O648" s="22" t="str">
        <f t="shared" ca="1" si="48"/>
        <v/>
      </c>
      <c r="P648" s="17" t="str">
        <f t="shared" si="49"/>
        <v/>
      </c>
      <c r="Q648" s="11"/>
      <c r="R648" s="19"/>
      <c r="S648" s="19"/>
      <c r="U648">
        <f ca="1">IF(AND(ISNUMBER(O648),O648&lt;=設定!$C$4),1,0)</f>
        <v>0</v>
      </c>
      <c r="V648" t="str">
        <f ca="1">IF(U648=1,SUM($U$10:U648),"")</f>
        <v/>
      </c>
    </row>
    <row r="649" spans="2:22">
      <c r="B649" s="8" t="str">
        <f>IF(C649="","",COUNT($C$10:C649))</f>
        <v/>
      </c>
      <c r="C649" s="20"/>
      <c r="D649" s="11"/>
      <c r="E649" s="9"/>
      <c r="F649" s="21" t="str">
        <f>IF(E649="","",IFERROR(INDEX(食材マスタ!$D$10:$D$309,MATCH(E649,食材マスタ!$C$10:$C$309,0)),"※コード未登録"))</f>
        <v/>
      </c>
      <c r="G649" s="16"/>
      <c r="H649" s="8" t="str">
        <f>IF(E649="","",IFERROR(INDEX(食材マスタ!$H$10:$H$309,MATCH(E649,食材マスタ!$C$10:$C$309,0)),""))</f>
        <v/>
      </c>
      <c r="I649" s="15" t="str">
        <f>IF(E649="","",IFERROR(INDEX(食材マスタ!$K$10:$K$309,MATCH(E649,食材マスタ!$C$10:$C$309,0)),""))</f>
        <v/>
      </c>
      <c r="J649" s="15" t="str">
        <f t="shared" si="45"/>
        <v/>
      </c>
      <c r="K649" s="20"/>
      <c r="L649" s="8" t="str">
        <f t="shared" si="46"/>
        <v/>
      </c>
      <c r="M649" s="9"/>
      <c r="N649" s="13" t="str">
        <f t="shared" si="47"/>
        <v/>
      </c>
      <c r="O649" s="22" t="str">
        <f t="shared" ca="1" si="48"/>
        <v/>
      </c>
      <c r="P649" s="17" t="str">
        <f t="shared" si="49"/>
        <v/>
      </c>
      <c r="Q649" s="11"/>
      <c r="R649" s="19"/>
      <c r="S649" s="19"/>
      <c r="U649">
        <f ca="1">IF(AND(ISNUMBER(O649),O649&lt;=設定!$C$4),1,0)</f>
        <v>0</v>
      </c>
      <c r="V649" t="str">
        <f ca="1">IF(U649=1,SUM($U$10:U649),"")</f>
        <v/>
      </c>
    </row>
    <row r="650" spans="2:22">
      <c r="B650" s="8" t="str">
        <f>IF(C650="","",COUNT($C$10:C650))</f>
        <v/>
      </c>
      <c r="C650" s="20"/>
      <c r="D650" s="11"/>
      <c r="E650" s="9"/>
      <c r="F650" s="21" t="str">
        <f>IF(E650="","",IFERROR(INDEX(食材マスタ!$D$10:$D$309,MATCH(E650,食材マスタ!$C$10:$C$309,0)),"※コード未登録"))</f>
        <v/>
      </c>
      <c r="G650" s="16"/>
      <c r="H650" s="8" t="str">
        <f>IF(E650="","",IFERROR(INDEX(食材マスタ!$H$10:$H$309,MATCH(E650,食材マスタ!$C$10:$C$309,0)),""))</f>
        <v/>
      </c>
      <c r="I650" s="15" t="str">
        <f>IF(E650="","",IFERROR(INDEX(食材マスタ!$K$10:$K$309,MATCH(E650,食材マスタ!$C$10:$C$309,0)),""))</f>
        <v/>
      </c>
      <c r="J650" s="15" t="str">
        <f t="shared" ref="J650:J713" si="50">IF(OR(G650="",I650=""),"",ROUND(ABS(G650)*I650,0))</f>
        <v/>
      </c>
      <c r="K650" s="20"/>
      <c r="L650" s="8" t="str">
        <f t="shared" ref="L650:L713" si="51">IF(AND(D650="入庫",E650&lt;&gt;""),E650&amp;"-"&amp;TEXT(ROW()-9,"0000"),"")</f>
        <v/>
      </c>
      <c r="M650" s="9"/>
      <c r="N650" s="13" t="str">
        <f t="shared" ref="N650:N713" si="52">IF(L650="","",G650-SUMIFS($G$10:$G$1009,$M$10:$M$1009,L650,$D$10:$D$1009,"出庫")-SUMIFS($G$10:$G$1009,$M$10:$M$1009,L650,$D$10:$D$1009,"廃棄")+SUMIFS($G$10:$G$1009,$M$10:$M$1009,L650,$D$10:$D$1009,"棚卸調整"))</f>
        <v/>
      </c>
      <c r="O650" s="22" t="str">
        <f t="shared" ref="O650:O713" ca="1" si="53">IF(OR(L650="",K650=""),"",IF(N650&lt;=0,"",K650-TODAY()))</f>
        <v/>
      </c>
      <c r="P650" s="17" t="str">
        <f t="shared" ref="P650:P713" si="54">IF(E650="","",IF(F650="※コード未登録","コード未登録",IF(AND(OR(D650="出庫",D650="廃棄"),M650=""),"ロット未指定",IF(AND(M650&lt;&gt;"",LEFT(M650,LEN(E650)+1)&lt;&gt;E650&amp;"-"),"ロット違い",IF(AND(L650&lt;&gt;"",N650&lt;0),"ロット残マイナス","")))))</f>
        <v/>
      </c>
      <c r="Q650" s="11"/>
      <c r="R650" s="19"/>
      <c r="S650" s="19"/>
      <c r="U650">
        <f ca="1">IF(AND(ISNUMBER(O650),O650&lt;=設定!$C$4),1,0)</f>
        <v>0</v>
      </c>
      <c r="V650" t="str">
        <f ca="1">IF(U650=1,SUM($U$10:U650),"")</f>
        <v/>
      </c>
    </row>
    <row r="651" spans="2:22">
      <c r="B651" s="8" t="str">
        <f>IF(C651="","",COUNT($C$10:C651))</f>
        <v/>
      </c>
      <c r="C651" s="20"/>
      <c r="D651" s="11"/>
      <c r="E651" s="9"/>
      <c r="F651" s="21" t="str">
        <f>IF(E651="","",IFERROR(INDEX(食材マスタ!$D$10:$D$309,MATCH(E651,食材マスタ!$C$10:$C$309,0)),"※コード未登録"))</f>
        <v/>
      </c>
      <c r="G651" s="16"/>
      <c r="H651" s="8" t="str">
        <f>IF(E651="","",IFERROR(INDEX(食材マスタ!$H$10:$H$309,MATCH(E651,食材マスタ!$C$10:$C$309,0)),""))</f>
        <v/>
      </c>
      <c r="I651" s="15" t="str">
        <f>IF(E651="","",IFERROR(INDEX(食材マスタ!$K$10:$K$309,MATCH(E651,食材マスタ!$C$10:$C$309,0)),""))</f>
        <v/>
      </c>
      <c r="J651" s="15" t="str">
        <f t="shared" si="50"/>
        <v/>
      </c>
      <c r="K651" s="20"/>
      <c r="L651" s="8" t="str">
        <f t="shared" si="51"/>
        <v/>
      </c>
      <c r="M651" s="9"/>
      <c r="N651" s="13" t="str">
        <f t="shared" si="52"/>
        <v/>
      </c>
      <c r="O651" s="22" t="str">
        <f t="shared" ca="1" si="53"/>
        <v/>
      </c>
      <c r="P651" s="17" t="str">
        <f t="shared" si="54"/>
        <v/>
      </c>
      <c r="Q651" s="11"/>
      <c r="R651" s="19"/>
      <c r="S651" s="19"/>
      <c r="U651">
        <f ca="1">IF(AND(ISNUMBER(O651),O651&lt;=設定!$C$4),1,0)</f>
        <v>0</v>
      </c>
      <c r="V651" t="str">
        <f ca="1">IF(U651=1,SUM($U$10:U651),"")</f>
        <v/>
      </c>
    </row>
    <row r="652" spans="2:22">
      <c r="B652" s="8" t="str">
        <f>IF(C652="","",COUNT($C$10:C652))</f>
        <v/>
      </c>
      <c r="C652" s="20"/>
      <c r="D652" s="11"/>
      <c r="E652" s="9"/>
      <c r="F652" s="21" t="str">
        <f>IF(E652="","",IFERROR(INDEX(食材マスタ!$D$10:$D$309,MATCH(E652,食材マスタ!$C$10:$C$309,0)),"※コード未登録"))</f>
        <v/>
      </c>
      <c r="G652" s="16"/>
      <c r="H652" s="8" t="str">
        <f>IF(E652="","",IFERROR(INDEX(食材マスタ!$H$10:$H$309,MATCH(E652,食材マスタ!$C$10:$C$309,0)),""))</f>
        <v/>
      </c>
      <c r="I652" s="15" t="str">
        <f>IF(E652="","",IFERROR(INDEX(食材マスタ!$K$10:$K$309,MATCH(E652,食材マスタ!$C$10:$C$309,0)),""))</f>
        <v/>
      </c>
      <c r="J652" s="15" t="str">
        <f t="shared" si="50"/>
        <v/>
      </c>
      <c r="K652" s="20"/>
      <c r="L652" s="8" t="str">
        <f t="shared" si="51"/>
        <v/>
      </c>
      <c r="M652" s="9"/>
      <c r="N652" s="13" t="str">
        <f t="shared" si="52"/>
        <v/>
      </c>
      <c r="O652" s="22" t="str">
        <f t="shared" ca="1" si="53"/>
        <v/>
      </c>
      <c r="P652" s="17" t="str">
        <f t="shared" si="54"/>
        <v/>
      </c>
      <c r="Q652" s="11"/>
      <c r="R652" s="19"/>
      <c r="S652" s="19"/>
      <c r="U652">
        <f ca="1">IF(AND(ISNUMBER(O652),O652&lt;=設定!$C$4),1,0)</f>
        <v>0</v>
      </c>
      <c r="V652" t="str">
        <f ca="1">IF(U652=1,SUM($U$10:U652),"")</f>
        <v/>
      </c>
    </row>
    <row r="653" spans="2:22">
      <c r="B653" s="8" t="str">
        <f>IF(C653="","",COUNT($C$10:C653))</f>
        <v/>
      </c>
      <c r="C653" s="20"/>
      <c r="D653" s="11"/>
      <c r="E653" s="9"/>
      <c r="F653" s="21" t="str">
        <f>IF(E653="","",IFERROR(INDEX(食材マスタ!$D$10:$D$309,MATCH(E653,食材マスタ!$C$10:$C$309,0)),"※コード未登録"))</f>
        <v/>
      </c>
      <c r="G653" s="16"/>
      <c r="H653" s="8" t="str">
        <f>IF(E653="","",IFERROR(INDEX(食材マスタ!$H$10:$H$309,MATCH(E653,食材マスタ!$C$10:$C$309,0)),""))</f>
        <v/>
      </c>
      <c r="I653" s="15" t="str">
        <f>IF(E653="","",IFERROR(INDEX(食材マスタ!$K$10:$K$309,MATCH(E653,食材マスタ!$C$10:$C$309,0)),""))</f>
        <v/>
      </c>
      <c r="J653" s="15" t="str">
        <f t="shared" si="50"/>
        <v/>
      </c>
      <c r="K653" s="20"/>
      <c r="L653" s="8" t="str">
        <f t="shared" si="51"/>
        <v/>
      </c>
      <c r="M653" s="9"/>
      <c r="N653" s="13" t="str">
        <f t="shared" si="52"/>
        <v/>
      </c>
      <c r="O653" s="22" t="str">
        <f t="shared" ca="1" si="53"/>
        <v/>
      </c>
      <c r="P653" s="17" t="str">
        <f t="shared" si="54"/>
        <v/>
      </c>
      <c r="Q653" s="11"/>
      <c r="R653" s="19"/>
      <c r="S653" s="19"/>
      <c r="U653">
        <f ca="1">IF(AND(ISNUMBER(O653),O653&lt;=設定!$C$4),1,0)</f>
        <v>0</v>
      </c>
      <c r="V653" t="str">
        <f ca="1">IF(U653=1,SUM($U$10:U653),"")</f>
        <v/>
      </c>
    </row>
    <row r="654" spans="2:22">
      <c r="B654" s="8" t="str">
        <f>IF(C654="","",COUNT($C$10:C654))</f>
        <v/>
      </c>
      <c r="C654" s="20"/>
      <c r="D654" s="11"/>
      <c r="E654" s="9"/>
      <c r="F654" s="21" t="str">
        <f>IF(E654="","",IFERROR(INDEX(食材マスタ!$D$10:$D$309,MATCH(E654,食材マスタ!$C$10:$C$309,0)),"※コード未登録"))</f>
        <v/>
      </c>
      <c r="G654" s="16"/>
      <c r="H654" s="8" t="str">
        <f>IF(E654="","",IFERROR(INDEX(食材マスタ!$H$10:$H$309,MATCH(E654,食材マスタ!$C$10:$C$309,0)),""))</f>
        <v/>
      </c>
      <c r="I654" s="15" t="str">
        <f>IF(E654="","",IFERROR(INDEX(食材マスタ!$K$10:$K$309,MATCH(E654,食材マスタ!$C$10:$C$309,0)),""))</f>
        <v/>
      </c>
      <c r="J654" s="15" t="str">
        <f t="shared" si="50"/>
        <v/>
      </c>
      <c r="K654" s="20"/>
      <c r="L654" s="8" t="str">
        <f t="shared" si="51"/>
        <v/>
      </c>
      <c r="M654" s="9"/>
      <c r="N654" s="13" t="str">
        <f t="shared" si="52"/>
        <v/>
      </c>
      <c r="O654" s="22" t="str">
        <f t="shared" ca="1" si="53"/>
        <v/>
      </c>
      <c r="P654" s="17" t="str">
        <f t="shared" si="54"/>
        <v/>
      </c>
      <c r="Q654" s="11"/>
      <c r="R654" s="19"/>
      <c r="S654" s="19"/>
      <c r="U654">
        <f ca="1">IF(AND(ISNUMBER(O654),O654&lt;=設定!$C$4),1,0)</f>
        <v>0</v>
      </c>
      <c r="V654" t="str">
        <f ca="1">IF(U654=1,SUM($U$10:U654),"")</f>
        <v/>
      </c>
    </row>
    <row r="655" spans="2:22">
      <c r="B655" s="8" t="str">
        <f>IF(C655="","",COUNT($C$10:C655))</f>
        <v/>
      </c>
      <c r="C655" s="20"/>
      <c r="D655" s="11"/>
      <c r="E655" s="9"/>
      <c r="F655" s="21" t="str">
        <f>IF(E655="","",IFERROR(INDEX(食材マスタ!$D$10:$D$309,MATCH(E655,食材マスタ!$C$10:$C$309,0)),"※コード未登録"))</f>
        <v/>
      </c>
      <c r="G655" s="16"/>
      <c r="H655" s="8" t="str">
        <f>IF(E655="","",IFERROR(INDEX(食材マスタ!$H$10:$H$309,MATCH(E655,食材マスタ!$C$10:$C$309,0)),""))</f>
        <v/>
      </c>
      <c r="I655" s="15" t="str">
        <f>IF(E655="","",IFERROR(INDEX(食材マスタ!$K$10:$K$309,MATCH(E655,食材マスタ!$C$10:$C$309,0)),""))</f>
        <v/>
      </c>
      <c r="J655" s="15" t="str">
        <f t="shared" si="50"/>
        <v/>
      </c>
      <c r="K655" s="20"/>
      <c r="L655" s="8" t="str">
        <f t="shared" si="51"/>
        <v/>
      </c>
      <c r="M655" s="9"/>
      <c r="N655" s="13" t="str">
        <f t="shared" si="52"/>
        <v/>
      </c>
      <c r="O655" s="22" t="str">
        <f t="shared" ca="1" si="53"/>
        <v/>
      </c>
      <c r="P655" s="17" t="str">
        <f t="shared" si="54"/>
        <v/>
      </c>
      <c r="Q655" s="11"/>
      <c r="R655" s="19"/>
      <c r="S655" s="19"/>
      <c r="U655">
        <f ca="1">IF(AND(ISNUMBER(O655),O655&lt;=設定!$C$4),1,0)</f>
        <v>0</v>
      </c>
      <c r="V655" t="str">
        <f ca="1">IF(U655=1,SUM($U$10:U655),"")</f>
        <v/>
      </c>
    </row>
    <row r="656" spans="2:22">
      <c r="B656" s="8" t="str">
        <f>IF(C656="","",COUNT($C$10:C656))</f>
        <v/>
      </c>
      <c r="C656" s="20"/>
      <c r="D656" s="11"/>
      <c r="E656" s="9"/>
      <c r="F656" s="21" t="str">
        <f>IF(E656="","",IFERROR(INDEX(食材マスタ!$D$10:$D$309,MATCH(E656,食材マスタ!$C$10:$C$309,0)),"※コード未登録"))</f>
        <v/>
      </c>
      <c r="G656" s="16"/>
      <c r="H656" s="8" t="str">
        <f>IF(E656="","",IFERROR(INDEX(食材マスタ!$H$10:$H$309,MATCH(E656,食材マスタ!$C$10:$C$309,0)),""))</f>
        <v/>
      </c>
      <c r="I656" s="15" t="str">
        <f>IF(E656="","",IFERROR(INDEX(食材マスタ!$K$10:$K$309,MATCH(E656,食材マスタ!$C$10:$C$309,0)),""))</f>
        <v/>
      </c>
      <c r="J656" s="15" t="str">
        <f t="shared" si="50"/>
        <v/>
      </c>
      <c r="K656" s="20"/>
      <c r="L656" s="8" t="str">
        <f t="shared" si="51"/>
        <v/>
      </c>
      <c r="M656" s="9"/>
      <c r="N656" s="13" t="str">
        <f t="shared" si="52"/>
        <v/>
      </c>
      <c r="O656" s="22" t="str">
        <f t="shared" ca="1" si="53"/>
        <v/>
      </c>
      <c r="P656" s="17" t="str">
        <f t="shared" si="54"/>
        <v/>
      </c>
      <c r="Q656" s="11"/>
      <c r="R656" s="19"/>
      <c r="S656" s="19"/>
      <c r="U656">
        <f ca="1">IF(AND(ISNUMBER(O656),O656&lt;=設定!$C$4),1,0)</f>
        <v>0</v>
      </c>
      <c r="V656" t="str">
        <f ca="1">IF(U656=1,SUM($U$10:U656),"")</f>
        <v/>
      </c>
    </row>
    <row r="657" spans="2:22">
      <c r="B657" s="8" t="str">
        <f>IF(C657="","",COUNT($C$10:C657))</f>
        <v/>
      </c>
      <c r="C657" s="20"/>
      <c r="D657" s="11"/>
      <c r="E657" s="9"/>
      <c r="F657" s="21" t="str">
        <f>IF(E657="","",IFERROR(INDEX(食材マスタ!$D$10:$D$309,MATCH(E657,食材マスタ!$C$10:$C$309,0)),"※コード未登録"))</f>
        <v/>
      </c>
      <c r="G657" s="16"/>
      <c r="H657" s="8" t="str">
        <f>IF(E657="","",IFERROR(INDEX(食材マスタ!$H$10:$H$309,MATCH(E657,食材マスタ!$C$10:$C$309,0)),""))</f>
        <v/>
      </c>
      <c r="I657" s="15" t="str">
        <f>IF(E657="","",IFERROR(INDEX(食材マスタ!$K$10:$K$309,MATCH(E657,食材マスタ!$C$10:$C$309,0)),""))</f>
        <v/>
      </c>
      <c r="J657" s="15" t="str">
        <f t="shared" si="50"/>
        <v/>
      </c>
      <c r="K657" s="20"/>
      <c r="L657" s="8" t="str">
        <f t="shared" si="51"/>
        <v/>
      </c>
      <c r="M657" s="9"/>
      <c r="N657" s="13" t="str">
        <f t="shared" si="52"/>
        <v/>
      </c>
      <c r="O657" s="22" t="str">
        <f t="shared" ca="1" si="53"/>
        <v/>
      </c>
      <c r="P657" s="17" t="str">
        <f t="shared" si="54"/>
        <v/>
      </c>
      <c r="Q657" s="11"/>
      <c r="R657" s="19"/>
      <c r="S657" s="19"/>
      <c r="U657">
        <f ca="1">IF(AND(ISNUMBER(O657),O657&lt;=設定!$C$4),1,0)</f>
        <v>0</v>
      </c>
      <c r="V657" t="str">
        <f ca="1">IF(U657=1,SUM($U$10:U657),"")</f>
        <v/>
      </c>
    </row>
    <row r="658" spans="2:22">
      <c r="B658" s="8" t="str">
        <f>IF(C658="","",COUNT($C$10:C658))</f>
        <v/>
      </c>
      <c r="C658" s="20"/>
      <c r="D658" s="11"/>
      <c r="E658" s="9"/>
      <c r="F658" s="21" t="str">
        <f>IF(E658="","",IFERROR(INDEX(食材マスタ!$D$10:$D$309,MATCH(E658,食材マスタ!$C$10:$C$309,0)),"※コード未登録"))</f>
        <v/>
      </c>
      <c r="G658" s="16"/>
      <c r="H658" s="8" t="str">
        <f>IF(E658="","",IFERROR(INDEX(食材マスタ!$H$10:$H$309,MATCH(E658,食材マスタ!$C$10:$C$309,0)),""))</f>
        <v/>
      </c>
      <c r="I658" s="15" t="str">
        <f>IF(E658="","",IFERROR(INDEX(食材マスタ!$K$10:$K$309,MATCH(E658,食材マスタ!$C$10:$C$309,0)),""))</f>
        <v/>
      </c>
      <c r="J658" s="15" t="str">
        <f t="shared" si="50"/>
        <v/>
      </c>
      <c r="K658" s="20"/>
      <c r="L658" s="8" t="str">
        <f t="shared" si="51"/>
        <v/>
      </c>
      <c r="M658" s="9"/>
      <c r="N658" s="13" t="str">
        <f t="shared" si="52"/>
        <v/>
      </c>
      <c r="O658" s="22" t="str">
        <f t="shared" ca="1" si="53"/>
        <v/>
      </c>
      <c r="P658" s="17" t="str">
        <f t="shared" si="54"/>
        <v/>
      </c>
      <c r="Q658" s="11"/>
      <c r="R658" s="19"/>
      <c r="S658" s="19"/>
      <c r="U658">
        <f ca="1">IF(AND(ISNUMBER(O658),O658&lt;=設定!$C$4),1,0)</f>
        <v>0</v>
      </c>
      <c r="V658" t="str">
        <f ca="1">IF(U658=1,SUM($U$10:U658),"")</f>
        <v/>
      </c>
    </row>
    <row r="659" spans="2:22">
      <c r="B659" s="8" t="str">
        <f>IF(C659="","",COUNT($C$10:C659))</f>
        <v/>
      </c>
      <c r="C659" s="20"/>
      <c r="D659" s="11"/>
      <c r="E659" s="9"/>
      <c r="F659" s="21" t="str">
        <f>IF(E659="","",IFERROR(INDEX(食材マスタ!$D$10:$D$309,MATCH(E659,食材マスタ!$C$10:$C$309,0)),"※コード未登録"))</f>
        <v/>
      </c>
      <c r="G659" s="16"/>
      <c r="H659" s="8" t="str">
        <f>IF(E659="","",IFERROR(INDEX(食材マスタ!$H$10:$H$309,MATCH(E659,食材マスタ!$C$10:$C$309,0)),""))</f>
        <v/>
      </c>
      <c r="I659" s="15" t="str">
        <f>IF(E659="","",IFERROR(INDEX(食材マスタ!$K$10:$K$309,MATCH(E659,食材マスタ!$C$10:$C$309,0)),""))</f>
        <v/>
      </c>
      <c r="J659" s="15" t="str">
        <f t="shared" si="50"/>
        <v/>
      </c>
      <c r="K659" s="20"/>
      <c r="L659" s="8" t="str">
        <f t="shared" si="51"/>
        <v/>
      </c>
      <c r="M659" s="9"/>
      <c r="N659" s="13" t="str">
        <f t="shared" si="52"/>
        <v/>
      </c>
      <c r="O659" s="22" t="str">
        <f t="shared" ca="1" si="53"/>
        <v/>
      </c>
      <c r="P659" s="17" t="str">
        <f t="shared" si="54"/>
        <v/>
      </c>
      <c r="Q659" s="11"/>
      <c r="R659" s="19"/>
      <c r="S659" s="19"/>
      <c r="U659">
        <f ca="1">IF(AND(ISNUMBER(O659),O659&lt;=設定!$C$4),1,0)</f>
        <v>0</v>
      </c>
      <c r="V659" t="str">
        <f ca="1">IF(U659=1,SUM($U$10:U659),"")</f>
        <v/>
      </c>
    </row>
    <row r="660" spans="2:22">
      <c r="B660" s="8" t="str">
        <f>IF(C660="","",COUNT($C$10:C660))</f>
        <v/>
      </c>
      <c r="C660" s="20"/>
      <c r="D660" s="11"/>
      <c r="E660" s="9"/>
      <c r="F660" s="21" t="str">
        <f>IF(E660="","",IFERROR(INDEX(食材マスタ!$D$10:$D$309,MATCH(E660,食材マスタ!$C$10:$C$309,0)),"※コード未登録"))</f>
        <v/>
      </c>
      <c r="G660" s="16"/>
      <c r="H660" s="8" t="str">
        <f>IF(E660="","",IFERROR(INDEX(食材マスタ!$H$10:$H$309,MATCH(E660,食材マスタ!$C$10:$C$309,0)),""))</f>
        <v/>
      </c>
      <c r="I660" s="15" t="str">
        <f>IF(E660="","",IFERROR(INDEX(食材マスタ!$K$10:$K$309,MATCH(E660,食材マスタ!$C$10:$C$309,0)),""))</f>
        <v/>
      </c>
      <c r="J660" s="15" t="str">
        <f t="shared" si="50"/>
        <v/>
      </c>
      <c r="K660" s="20"/>
      <c r="L660" s="8" t="str">
        <f t="shared" si="51"/>
        <v/>
      </c>
      <c r="M660" s="9"/>
      <c r="N660" s="13" t="str">
        <f t="shared" si="52"/>
        <v/>
      </c>
      <c r="O660" s="22" t="str">
        <f t="shared" ca="1" si="53"/>
        <v/>
      </c>
      <c r="P660" s="17" t="str">
        <f t="shared" si="54"/>
        <v/>
      </c>
      <c r="Q660" s="11"/>
      <c r="R660" s="19"/>
      <c r="S660" s="19"/>
      <c r="U660">
        <f ca="1">IF(AND(ISNUMBER(O660),O660&lt;=設定!$C$4),1,0)</f>
        <v>0</v>
      </c>
      <c r="V660" t="str">
        <f ca="1">IF(U660=1,SUM($U$10:U660),"")</f>
        <v/>
      </c>
    </row>
    <row r="661" spans="2:22">
      <c r="B661" s="8" t="str">
        <f>IF(C661="","",COUNT($C$10:C661))</f>
        <v/>
      </c>
      <c r="C661" s="20"/>
      <c r="D661" s="11"/>
      <c r="E661" s="9"/>
      <c r="F661" s="21" t="str">
        <f>IF(E661="","",IFERROR(INDEX(食材マスタ!$D$10:$D$309,MATCH(E661,食材マスタ!$C$10:$C$309,0)),"※コード未登録"))</f>
        <v/>
      </c>
      <c r="G661" s="16"/>
      <c r="H661" s="8" t="str">
        <f>IF(E661="","",IFERROR(INDEX(食材マスタ!$H$10:$H$309,MATCH(E661,食材マスタ!$C$10:$C$309,0)),""))</f>
        <v/>
      </c>
      <c r="I661" s="15" t="str">
        <f>IF(E661="","",IFERROR(INDEX(食材マスタ!$K$10:$K$309,MATCH(E661,食材マスタ!$C$10:$C$309,0)),""))</f>
        <v/>
      </c>
      <c r="J661" s="15" t="str">
        <f t="shared" si="50"/>
        <v/>
      </c>
      <c r="K661" s="20"/>
      <c r="L661" s="8" t="str">
        <f t="shared" si="51"/>
        <v/>
      </c>
      <c r="M661" s="9"/>
      <c r="N661" s="13" t="str">
        <f t="shared" si="52"/>
        <v/>
      </c>
      <c r="O661" s="22" t="str">
        <f t="shared" ca="1" si="53"/>
        <v/>
      </c>
      <c r="P661" s="17" t="str">
        <f t="shared" si="54"/>
        <v/>
      </c>
      <c r="Q661" s="11"/>
      <c r="R661" s="19"/>
      <c r="S661" s="19"/>
      <c r="U661">
        <f ca="1">IF(AND(ISNUMBER(O661),O661&lt;=設定!$C$4),1,0)</f>
        <v>0</v>
      </c>
      <c r="V661" t="str">
        <f ca="1">IF(U661=1,SUM($U$10:U661),"")</f>
        <v/>
      </c>
    </row>
    <row r="662" spans="2:22">
      <c r="B662" s="8" t="str">
        <f>IF(C662="","",COUNT($C$10:C662))</f>
        <v/>
      </c>
      <c r="C662" s="20"/>
      <c r="D662" s="11"/>
      <c r="E662" s="9"/>
      <c r="F662" s="21" t="str">
        <f>IF(E662="","",IFERROR(INDEX(食材マスタ!$D$10:$D$309,MATCH(E662,食材マスタ!$C$10:$C$309,0)),"※コード未登録"))</f>
        <v/>
      </c>
      <c r="G662" s="16"/>
      <c r="H662" s="8" t="str">
        <f>IF(E662="","",IFERROR(INDEX(食材マスタ!$H$10:$H$309,MATCH(E662,食材マスタ!$C$10:$C$309,0)),""))</f>
        <v/>
      </c>
      <c r="I662" s="15" t="str">
        <f>IF(E662="","",IFERROR(INDEX(食材マスタ!$K$10:$K$309,MATCH(E662,食材マスタ!$C$10:$C$309,0)),""))</f>
        <v/>
      </c>
      <c r="J662" s="15" t="str">
        <f t="shared" si="50"/>
        <v/>
      </c>
      <c r="K662" s="20"/>
      <c r="L662" s="8" t="str">
        <f t="shared" si="51"/>
        <v/>
      </c>
      <c r="M662" s="9"/>
      <c r="N662" s="13" t="str">
        <f t="shared" si="52"/>
        <v/>
      </c>
      <c r="O662" s="22" t="str">
        <f t="shared" ca="1" si="53"/>
        <v/>
      </c>
      <c r="P662" s="17" t="str">
        <f t="shared" si="54"/>
        <v/>
      </c>
      <c r="Q662" s="11"/>
      <c r="R662" s="19"/>
      <c r="S662" s="19"/>
      <c r="U662">
        <f ca="1">IF(AND(ISNUMBER(O662),O662&lt;=設定!$C$4),1,0)</f>
        <v>0</v>
      </c>
      <c r="V662" t="str">
        <f ca="1">IF(U662=1,SUM($U$10:U662),"")</f>
        <v/>
      </c>
    </row>
    <row r="663" spans="2:22">
      <c r="B663" s="8" t="str">
        <f>IF(C663="","",COUNT($C$10:C663))</f>
        <v/>
      </c>
      <c r="C663" s="20"/>
      <c r="D663" s="11"/>
      <c r="E663" s="9"/>
      <c r="F663" s="21" t="str">
        <f>IF(E663="","",IFERROR(INDEX(食材マスタ!$D$10:$D$309,MATCH(E663,食材マスタ!$C$10:$C$309,0)),"※コード未登録"))</f>
        <v/>
      </c>
      <c r="G663" s="16"/>
      <c r="H663" s="8" t="str">
        <f>IF(E663="","",IFERROR(INDEX(食材マスタ!$H$10:$H$309,MATCH(E663,食材マスタ!$C$10:$C$309,0)),""))</f>
        <v/>
      </c>
      <c r="I663" s="15" t="str">
        <f>IF(E663="","",IFERROR(INDEX(食材マスタ!$K$10:$K$309,MATCH(E663,食材マスタ!$C$10:$C$309,0)),""))</f>
        <v/>
      </c>
      <c r="J663" s="15" t="str">
        <f t="shared" si="50"/>
        <v/>
      </c>
      <c r="K663" s="20"/>
      <c r="L663" s="8" t="str">
        <f t="shared" si="51"/>
        <v/>
      </c>
      <c r="M663" s="9"/>
      <c r="N663" s="13" t="str">
        <f t="shared" si="52"/>
        <v/>
      </c>
      <c r="O663" s="22" t="str">
        <f t="shared" ca="1" si="53"/>
        <v/>
      </c>
      <c r="P663" s="17" t="str">
        <f t="shared" si="54"/>
        <v/>
      </c>
      <c r="Q663" s="11"/>
      <c r="R663" s="19"/>
      <c r="S663" s="19"/>
      <c r="U663">
        <f ca="1">IF(AND(ISNUMBER(O663),O663&lt;=設定!$C$4),1,0)</f>
        <v>0</v>
      </c>
      <c r="V663" t="str">
        <f ca="1">IF(U663=1,SUM($U$10:U663),"")</f>
        <v/>
      </c>
    </row>
    <row r="664" spans="2:22">
      <c r="B664" s="8" t="str">
        <f>IF(C664="","",COUNT($C$10:C664))</f>
        <v/>
      </c>
      <c r="C664" s="20"/>
      <c r="D664" s="11"/>
      <c r="E664" s="9"/>
      <c r="F664" s="21" t="str">
        <f>IF(E664="","",IFERROR(INDEX(食材マスタ!$D$10:$D$309,MATCH(E664,食材マスタ!$C$10:$C$309,0)),"※コード未登録"))</f>
        <v/>
      </c>
      <c r="G664" s="16"/>
      <c r="H664" s="8" t="str">
        <f>IF(E664="","",IFERROR(INDEX(食材マスタ!$H$10:$H$309,MATCH(E664,食材マスタ!$C$10:$C$309,0)),""))</f>
        <v/>
      </c>
      <c r="I664" s="15" t="str">
        <f>IF(E664="","",IFERROR(INDEX(食材マスタ!$K$10:$K$309,MATCH(E664,食材マスタ!$C$10:$C$309,0)),""))</f>
        <v/>
      </c>
      <c r="J664" s="15" t="str">
        <f t="shared" si="50"/>
        <v/>
      </c>
      <c r="K664" s="20"/>
      <c r="L664" s="8" t="str">
        <f t="shared" si="51"/>
        <v/>
      </c>
      <c r="M664" s="9"/>
      <c r="N664" s="13" t="str">
        <f t="shared" si="52"/>
        <v/>
      </c>
      <c r="O664" s="22" t="str">
        <f t="shared" ca="1" si="53"/>
        <v/>
      </c>
      <c r="P664" s="17" t="str">
        <f t="shared" si="54"/>
        <v/>
      </c>
      <c r="Q664" s="11"/>
      <c r="R664" s="19"/>
      <c r="S664" s="19"/>
      <c r="U664">
        <f ca="1">IF(AND(ISNUMBER(O664),O664&lt;=設定!$C$4),1,0)</f>
        <v>0</v>
      </c>
      <c r="V664" t="str">
        <f ca="1">IF(U664=1,SUM($U$10:U664),"")</f>
        <v/>
      </c>
    </row>
    <row r="665" spans="2:22">
      <c r="B665" s="8" t="str">
        <f>IF(C665="","",COUNT($C$10:C665))</f>
        <v/>
      </c>
      <c r="C665" s="20"/>
      <c r="D665" s="11"/>
      <c r="E665" s="9"/>
      <c r="F665" s="21" t="str">
        <f>IF(E665="","",IFERROR(INDEX(食材マスタ!$D$10:$D$309,MATCH(E665,食材マスタ!$C$10:$C$309,0)),"※コード未登録"))</f>
        <v/>
      </c>
      <c r="G665" s="16"/>
      <c r="H665" s="8" t="str">
        <f>IF(E665="","",IFERROR(INDEX(食材マスタ!$H$10:$H$309,MATCH(E665,食材マスタ!$C$10:$C$309,0)),""))</f>
        <v/>
      </c>
      <c r="I665" s="15" t="str">
        <f>IF(E665="","",IFERROR(INDEX(食材マスタ!$K$10:$K$309,MATCH(E665,食材マスタ!$C$10:$C$309,0)),""))</f>
        <v/>
      </c>
      <c r="J665" s="15" t="str">
        <f t="shared" si="50"/>
        <v/>
      </c>
      <c r="K665" s="20"/>
      <c r="L665" s="8" t="str">
        <f t="shared" si="51"/>
        <v/>
      </c>
      <c r="M665" s="9"/>
      <c r="N665" s="13" t="str">
        <f t="shared" si="52"/>
        <v/>
      </c>
      <c r="O665" s="22" t="str">
        <f t="shared" ca="1" si="53"/>
        <v/>
      </c>
      <c r="P665" s="17" t="str">
        <f t="shared" si="54"/>
        <v/>
      </c>
      <c r="Q665" s="11"/>
      <c r="R665" s="19"/>
      <c r="S665" s="19"/>
      <c r="U665">
        <f ca="1">IF(AND(ISNUMBER(O665),O665&lt;=設定!$C$4),1,0)</f>
        <v>0</v>
      </c>
      <c r="V665" t="str">
        <f ca="1">IF(U665=1,SUM($U$10:U665),"")</f>
        <v/>
      </c>
    </row>
    <row r="666" spans="2:22">
      <c r="B666" s="8" t="str">
        <f>IF(C666="","",COUNT($C$10:C666))</f>
        <v/>
      </c>
      <c r="C666" s="20"/>
      <c r="D666" s="11"/>
      <c r="E666" s="9"/>
      <c r="F666" s="21" t="str">
        <f>IF(E666="","",IFERROR(INDEX(食材マスタ!$D$10:$D$309,MATCH(E666,食材マスタ!$C$10:$C$309,0)),"※コード未登録"))</f>
        <v/>
      </c>
      <c r="G666" s="16"/>
      <c r="H666" s="8" t="str">
        <f>IF(E666="","",IFERROR(INDEX(食材マスタ!$H$10:$H$309,MATCH(E666,食材マスタ!$C$10:$C$309,0)),""))</f>
        <v/>
      </c>
      <c r="I666" s="15" t="str">
        <f>IF(E666="","",IFERROR(INDEX(食材マスタ!$K$10:$K$309,MATCH(E666,食材マスタ!$C$10:$C$309,0)),""))</f>
        <v/>
      </c>
      <c r="J666" s="15" t="str">
        <f t="shared" si="50"/>
        <v/>
      </c>
      <c r="K666" s="20"/>
      <c r="L666" s="8" t="str">
        <f t="shared" si="51"/>
        <v/>
      </c>
      <c r="M666" s="9"/>
      <c r="N666" s="13" t="str">
        <f t="shared" si="52"/>
        <v/>
      </c>
      <c r="O666" s="22" t="str">
        <f t="shared" ca="1" si="53"/>
        <v/>
      </c>
      <c r="P666" s="17" t="str">
        <f t="shared" si="54"/>
        <v/>
      </c>
      <c r="Q666" s="11"/>
      <c r="R666" s="19"/>
      <c r="S666" s="19"/>
      <c r="U666">
        <f ca="1">IF(AND(ISNUMBER(O666),O666&lt;=設定!$C$4),1,0)</f>
        <v>0</v>
      </c>
      <c r="V666" t="str">
        <f ca="1">IF(U666=1,SUM($U$10:U666),"")</f>
        <v/>
      </c>
    </row>
    <row r="667" spans="2:22">
      <c r="B667" s="8" t="str">
        <f>IF(C667="","",COUNT($C$10:C667))</f>
        <v/>
      </c>
      <c r="C667" s="20"/>
      <c r="D667" s="11"/>
      <c r="E667" s="9"/>
      <c r="F667" s="21" t="str">
        <f>IF(E667="","",IFERROR(INDEX(食材マスタ!$D$10:$D$309,MATCH(E667,食材マスタ!$C$10:$C$309,0)),"※コード未登録"))</f>
        <v/>
      </c>
      <c r="G667" s="16"/>
      <c r="H667" s="8" t="str">
        <f>IF(E667="","",IFERROR(INDEX(食材マスタ!$H$10:$H$309,MATCH(E667,食材マスタ!$C$10:$C$309,0)),""))</f>
        <v/>
      </c>
      <c r="I667" s="15" t="str">
        <f>IF(E667="","",IFERROR(INDEX(食材マスタ!$K$10:$K$309,MATCH(E667,食材マスタ!$C$10:$C$309,0)),""))</f>
        <v/>
      </c>
      <c r="J667" s="15" t="str">
        <f t="shared" si="50"/>
        <v/>
      </c>
      <c r="K667" s="20"/>
      <c r="L667" s="8" t="str">
        <f t="shared" si="51"/>
        <v/>
      </c>
      <c r="M667" s="9"/>
      <c r="N667" s="13" t="str">
        <f t="shared" si="52"/>
        <v/>
      </c>
      <c r="O667" s="22" t="str">
        <f t="shared" ca="1" si="53"/>
        <v/>
      </c>
      <c r="P667" s="17" t="str">
        <f t="shared" si="54"/>
        <v/>
      </c>
      <c r="Q667" s="11"/>
      <c r="R667" s="19"/>
      <c r="S667" s="19"/>
      <c r="U667">
        <f ca="1">IF(AND(ISNUMBER(O667),O667&lt;=設定!$C$4),1,0)</f>
        <v>0</v>
      </c>
      <c r="V667" t="str">
        <f ca="1">IF(U667=1,SUM($U$10:U667),"")</f>
        <v/>
      </c>
    </row>
    <row r="668" spans="2:22">
      <c r="B668" s="8" t="str">
        <f>IF(C668="","",COUNT($C$10:C668))</f>
        <v/>
      </c>
      <c r="C668" s="20"/>
      <c r="D668" s="11"/>
      <c r="E668" s="9"/>
      <c r="F668" s="21" t="str">
        <f>IF(E668="","",IFERROR(INDEX(食材マスタ!$D$10:$D$309,MATCH(E668,食材マスタ!$C$10:$C$309,0)),"※コード未登録"))</f>
        <v/>
      </c>
      <c r="G668" s="16"/>
      <c r="H668" s="8" t="str">
        <f>IF(E668="","",IFERROR(INDEX(食材マスタ!$H$10:$H$309,MATCH(E668,食材マスタ!$C$10:$C$309,0)),""))</f>
        <v/>
      </c>
      <c r="I668" s="15" t="str">
        <f>IF(E668="","",IFERROR(INDEX(食材マスタ!$K$10:$K$309,MATCH(E668,食材マスタ!$C$10:$C$309,0)),""))</f>
        <v/>
      </c>
      <c r="J668" s="15" t="str">
        <f t="shared" si="50"/>
        <v/>
      </c>
      <c r="K668" s="20"/>
      <c r="L668" s="8" t="str">
        <f t="shared" si="51"/>
        <v/>
      </c>
      <c r="M668" s="9"/>
      <c r="N668" s="13" t="str">
        <f t="shared" si="52"/>
        <v/>
      </c>
      <c r="O668" s="22" t="str">
        <f t="shared" ca="1" si="53"/>
        <v/>
      </c>
      <c r="P668" s="17" t="str">
        <f t="shared" si="54"/>
        <v/>
      </c>
      <c r="Q668" s="11"/>
      <c r="R668" s="19"/>
      <c r="S668" s="19"/>
      <c r="U668">
        <f ca="1">IF(AND(ISNUMBER(O668),O668&lt;=設定!$C$4),1,0)</f>
        <v>0</v>
      </c>
      <c r="V668" t="str">
        <f ca="1">IF(U668=1,SUM($U$10:U668),"")</f>
        <v/>
      </c>
    </row>
    <row r="669" spans="2:22">
      <c r="B669" s="8" t="str">
        <f>IF(C669="","",COUNT($C$10:C669))</f>
        <v/>
      </c>
      <c r="C669" s="20"/>
      <c r="D669" s="11"/>
      <c r="E669" s="9"/>
      <c r="F669" s="21" t="str">
        <f>IF(E669="","",IFERROR(INDEX(食材マスタ!$D$10:$D$309,MATCH(E669,食材マスタ!$C$10:$C$309,0)),"※コード未登録"))</f>
        <v/>
      </c>
      <c r="G669" s="16"/>
      <c r="H669" s="8" t="str">
        <f>IF(E669="","",IFERROR(INDEX(食材マスタ!$H$10:$H$309,MATCH(E669,食材マスタ!$C$10:$C$309,0)),""))</f>
        <v/>
      </c>
      <c r="I669" s="15" t="str">
        <f>IF(E669="","",IFERROR(INDEX(食材マスタ!$K$10:$K$309,MATCH(E669,食材マスタ!$C$10:$C$309,0)),""))</f>
        <v/>
      </c>
      <c r="J669" s="15" t="str">
        <f t="shared" si="50"/>
        <v/>
      </c>
      <c r="K669" s="20"/>
      <c r="L669" s="8" t="str">
        <f t="shared" si="51"/>
        <v/>
      </c>
      <c r="M669" s="9"/>
      <c r="N669" s="13" t="str">
        <f t="shared" si="52"/>
        <v/>
      </c>
      <c r="O669" s="22" t="str">
        <f t="shared" ca="1" si="53"/>
        <v/>
      </c>
      <c r="P669" s="17" t="str">
        <f t="shared" si="54"/>
        <v/>
      </c>
      <c r="Q669" s="11"/>
      <c r="R669" s="19"/>
      <c r="S669" s="19"/>
      <c r="U669">
        <f ca="1">IF(AND(ISNUMBER(O669),O669&lt;=設定!$C$4),1,0)</f>
        <v>0</v>
      </c>
      <c r="V669" t="str">
        <f ca="1">IF(U669=1,SUM($U$10:U669),"")</f>
        <v/>
      </c>
    </row>
    <row r="670" spans="2:22">
      <c r="B670" s="8" t="str">
        <f>IF(C670="","",COUNT($C$10:C670))</f>
        <v/>
      </c>
      <c r="C670" s="20"/>
      <c r="D670" s="11"/>
      <c r="E670" s="9"/>
      <c r="F670" s="21" t="str">
        <f>IF(E670="","",IFERROR(INDEX(食材マスタ!$D$10:$D$309,MATCH(E670,食材マスタ!$C$10:$C$309,0)),"※コード未登録"))</f>
        <v/>
      </c>
      <c r="G670" s="16"/>
      <c r="H670" s="8" t="str">
        <f>IF(E670="","",IFERROR(INDEX(食材マスタ!$H$10:$H$309,MATCH(E670,食材マスタ!$C$10:$C$309,0)),""))</f>
        <v/>
      </c>
      <c r="I670" s="15" t="str">
        <f>IF(E670="","",IFERROR(INDEX(食材マスタ!$K$10:$K$309,MATCH(E670,食材マスタ!$C$10:$C$309,0)),""))</f>
        <v/>
      </c>
      <c r="J670" s="15" t="str">
        <f t="shared" si="50"/>
        <v/>
      </c>
      <c r="K670" s="20"/>
      <c r="L670" s="8" t="str">
        <f t="shared" si="51"/>
        <v/>
      </c>
      <c r="M670" s="9"/>
      <c r="N670" s="13" t="str">
        <f t="shared" si="52"/>
        <v/>
      </c>
      <c r="O670" s="22" t="str">
        <f t="shared" ca="1" si="53"/>
        <v/>
      </c>
      <c r="P670" s="17" t="str">
        <f t="shared" si="54"/>
        <v/>
      </c>
      <c r="Q670" s="11"/>
      <c r="R670" s="19"/>
      <c r="S670" s="19"/>
      <c r="U670">
        <f ca="1">IF(AND(ISNUMBER(O670),O670&lt;=設定!$C$4),1,0)</f>
        <v>0</v>
      </c>
      <c r="V670" t="str">
        <f ca="1">IF(U670=1,SUM($U$10:U670),"")</f>
        <v/>
      </c>
    </row>
    <row r="671" spans="2:22">
      <c r="B671" s="8" t="str">
        <f>IF(C671="","",COUNT($C$10:C671))</f>
        <v/>
      </c>
      <c r="C671" s="20"/>
      <c r="D671" s="11"/>
      <c r="E671" s="9"/>
      <c r="F671" s="21" t="str">
        <f>IF(E671="","",IFERROR(INDEX(食材マスタ!$D$10:$D$309,MATCH(E671,食材マスタ!$C$10:$C$309,0)),"※コード未登録"))</f>
        <v/>
      </c>
      <c r="G671" s="16"/>
      <c r="H671" s="8" t="str">
        <f>IF(E671="","",IFERROR(INDEX(食材マスタ!$H$10:$H$309,MATCH(E671,食材マスタ!$C$10:$C$309,0)),""))</f>
        <v/>
      </c>
      <c r="I671" s="15" t="str">
        <f>IF(E671="","",IFERROR(INDEX(食材マスタ!$K$10:$K$309,MATCH(E671,食材マスタ!$C$10:$C$309,0)),""))</f>
        <v/>
      </c>
      <c r="J671" s="15" t="str">
        <f t="shared" si="50"/>
        <v/>
      </c>
      <c r="K671" s="20"/>
      <c r="L671" s="8" t="str">
        <f t="shared" si="51"/>
        <v/>
      </c>
      <c r="M671" s="9"/>
      <c r="N671" s="13" t="str">
        <f t="shared" si="52"/>
        <v/>
      </c>
      <c r="O671" s="22" t="str">
        <f t="shared" ca="1" si="53"/>
        <v/>
      </c>
      <c r="P671" s="17" t="str">
        <f t="shared" si="54"/>
        <v/>
      </c>
      <c r="Q671" s="11"/>
      <c r="R671" s="19"/>
      <c r="S671" s="19"/>
      <c r="U671">
        <f ca="1">IF(AND(ISNUMBER(O671),O671&lt;=設定!$C$4),1,0)</f>
        <v>0</v>
      </c>
      <c r="V671" t="str">
        <f ca="1">IF(U671=1,SUM($U$10:U671),"")</f>
        <v/>
      </c>
    </row>
    <row r="672" spans="2:22">
      <c r="B672" s="8" t="str">
        <f>IF(C672="","",COUNT($C$10:C672))</f>
        <v/>
      </c>
      <c r="C672" s="20"/>
      <c r="D672" s="11"/>
      <c r="E672" s="9"/>
      <c r="F672" s="21" t="str">
        <f>IF(E672="","",IFERROR(INDEX(食材マスタ!$D$10:$D$309,MATCH(E672,食材マスタ!$C$10:$C$309,0)),"※コード未登録"))</f>
        <v/>
      </c>
      <c r="G672" s="16"/>
      <c r="H672" s="8" t="str">
        <f>IF(E672="","",IFERROR(INDEX(食材マスタ!$H$10:$H$309,MATCH(E672,食材マスタ!$C$10:$C$309,0)),""))</f>
        <v/>
      </c>
      <c r="I672" s="15" t="str">
        <f>IF(E672="","",IFERROR(INDEX(食材マスタ!$K$10:$K$309,MATCH(E672,食材マスタ!$C$10:$C$309,0)),""))</f>
        <v/>
      </c>
      <c r="J672" s="15" t="str">
        <f t="shared" si="50"/>
        <v/>
      </c>
      <c r="K672" s="20"/>
      <c r="L672" s="8" t="str">
        <f t="shared" si="51"/>
        <v/>
      </c>
      <c r="M672" s="9"/>
      <c r="N672" s="13" t="str">
        <f t="shared" si="52"/>
        <v/>
      </c>
      <c r="O672" s="22" t="str">
        <f t="shared" ca="1" si="53"/>
        <v/>
      </c>
      <c r="P672" s="17" t="str">
        <f t="shared" si="54"/>
        <v/>
      </c>
      <c r="Q672" s="11"/>
      <c r="R672" s="19"/>
      <c r="S672" s="19"/>
      <c r="U672">
        <f ca="1">IF(AND(ISNUMBER(O672),O672&lt;=設定!$C$4),1,0)</f>
        <v>0</v>
      </c>
      <c r="V672" t="str">
        <f ca="1">IF(U672=1,SUM($U$10:U672),"")</f>
        <v/>
      </c>
    </row>
    <row r="673" spans="2:22">
      <c r="B673" s="8" t="str">
        <f>IF(C673="","",COUNT($C$10:C673))</f>
        <v/>
      </c>
      <c r="C673" s="20"/>
      <c r="D673" s="11"/>
      <c r="E673" s="9"/>
      <c r="F673" s="21" t="str">
        <f>IF(E673="","",IFERROR(INDEX(食材マスタ!$D$10:$D$309,MATCH(E673,食材マスタ!$C$10:$C$309,0)),"※コード未登録"))</f>
        <v/>
      </c>
      <c r="G673" s="16"/>
      <c r="H673" s="8" t="str">
        <f>IF(E673="","",IFERROR(INDEX(食材マスタ!$H$10:$H$309,MATCH(E673,食材マスタ!$C$10:$C$309,0)),""))</f>
        <v/>
      </c>
      <c r="I673" s="15" t="str">
        <f>IF(E673="","",IFERROR(INDEX(食材マスタ!$K$10:$K$309,MATCH(E673,食材マスタ!$C$10:$C$309,0)),""))</f>
        <v/>
      </c>
      <c r="J673" s="15" t="str">
        <f t="shared" si="50"/>
        <v/>
      </c>
      <c r="K673" s="20"/>
      <c r="L673" s="8" t="str">
        <f t="shared" si="51"/>
        <v/>
      </c>
      <c r="M673" s="9"/>
      <c r="N673" s="13" t="str">
        <f t="shared" si="52"/>
        <v/>
      </c>
      <c r="O673" s="22" t="str">
        <f t="shared" ca="1" si="53"/>
        <v/>
      </c>
      <c r="P673" s="17" t="str">
        <f t="shared" si="54"/>
        <v/>
      </c>
      <c r="Q673" s="11"/>
      <c r="R673" s="19"/>
      <c r="S673" s="19"/>
      <c r="U673">
        <f ca="1">IF(AND(ISNUMBER(O673),O673&lt;=設定!$C$4),1,0)</f>
        <v>0</v>
      </c>
      <c r="V673" t="str">
        <f ca="1">IF(U673=1,SUM($U$10:U673),"")</f>
        <v/>
      </c>
    </row>
    <row r="674" spans="2:22">
      <c r="B674" s="8" t="str">
        <f>IF(C674="","",COUNT($C$10:C674))</f>
        <v/>
      </c>
      <c r="C674" s="20"/>
      <c r="D674" s="11"/>
      <c r="E674" s="9"/>
      <c r="F674" s="21" t="str">
        <f>IF(E674="","",IFERROR(INDEX(食材マスタ!$D$10:$D$309,MATCH(E674,食材マスタ!$C$10:$C$309,0)),"※コード未登録"))</f>
        <v/>
      </c>
      <c r="G674" s="16"/>
      <c r="H674" s="8" t="str">
        <f>IF(E674="","",IFERROR(INDEX(食材マスタ!$H$10:$H$309,MATCH(E674,食材マスタ!$C$10:$C$309,0)),""))</f>
        <v/>
      </c>
      <c r="I674" s="15" t="str">
        <f>IF(E674="","",IFERROR(INDEX(食材マスタ!$K$10:$K$309,MATCH(E674,食材マスタ!$C$10:$C$309,0)),""))</f>
        <v/>
      </c>
      <c r="J674" s="15" t="str">
        <f t="shared" si="50"/>
        <v/>
      </c>
      <c r="K674" s="20"/>
      <c r="L674" s="8" t="str">
        <f t="shared" si="51"/>
        <v/>
      </c>
      <c r="M674" s="9"/>
      <c r="N674" s="13" t="str">
        <f t="shared" si="52"/>
        <v/>
      </c>
      <c r="O674" s="22" t="str">
        <f t="shared" ca="1" si="53"/>
        <v/>
      </c>
      <c r="P674" s="17" t="str">
        <f t="shared" si="54"/>
        <v/>
      </c>
      <c r="Q674" s="11"/>
      <c r="R674" s="19"/>
      <c r="S674" s="19"/>
      <c r="U674">
        <f ca="1">IF(AND(ISNUMBER(O674),O674&lt;=設定!$C$4),1,0)</f>
        <v>0</v>
      </c>
      <c r="V674" t="str">
        <f ca="1">IF(U674=1,SUM($U$10:U674),"")</f>
        <v/>
      </c>
    </row>
    <row r="675" spans="2:22">
      <c r="B675" s="8" t="str">
        <f>IF(C675="","",COUNT($C$10:C675))</f>
        <v/>
      </c>
      <c r="C675" s="20"/>
      <c r="D675" s="11"/>
      <c r="E675" s="9"/>
      <c r="F675" s="21" t="str">
        <f>IF(E675="","",IFERROR(INDEX(食材マスタ!$D$10:$D$309,MATCH(E675,食材マスタ!$C$10:$C$309,0)),"※コード未登録"))</f>
        <v/>
      </c>
      <c r="G675" s="16"/>
      <c r="H675" s="8" t="str">
        <f>IF(E675="","",IFERROR(INDEX(食材マスタ!$H$10:$H$309,MATCH(E675,食材マスタ!$C$10:$C$309,0)),""))</f>
        <v/>
      </c>
      <c r="I675" s="15" t="str">
        <f>IF(E675="","",IFERROR(INDEX(食材マスタ!$K$10:$K$309,MATCH(E675,食材マスタ!$C$10:$C$309,0)),""))</f>
        <v/>
      </c>
      <c r="J675" s="15" t="str">
        <f t="shared" si="50"/>
        <v/>
      </c>
      <c r="K675" s="20"/>
      <c r="L675" s="8" t="str">
        <f t="shared" si="51"/>
        <v/>
      </c>
      <c r="M675" s="9"/>
      <c r="N675" s="13" t="str">
        <f t="shared" si="52"/>
        <v/>
      </c>
      <c r="O675" s="22" t="str">
        <f t="shared" ca="1" si="53"/>
        <v/>
      </c>
      <c r="P675" s="17" t="str">
        <f t="shared" si="54"/>
        <v/>
      </c>
      <c r="Q675" s="11"/>
      <c r="R675" s="19"/>
      <c r="S675" s="19"/>
      <c r="U675">
        <f ca="1">IF(AND(ISNUMBER(O675),O675&lt;=設定!$C$4),1,0)</f>
        <v>0</v>
      </c>
      <c r="V675" t="str">
        <f ca="1">IF(U675=1,SUM($U$10:U675),"")</f>
        <v/>
      </c>
    </row>
    <row r="676" spans="2:22">
      <c r="B676" s="8" t="str">
        <f>IF(C676="","",COUNT($C$10:C676))</f>
        <v/>
      </c>
      <c r="C676" s="20"/>
      <c r="D676" s="11"/>
      <c r="E676" s="9"/>
      <c r="F676" s="21" t="str">
        <f>IF(E676="","",IFERROR(INDEX(食材マスタ!$D$10:$D$309,MATCH(E676,食材マスタ!$C$10:$C$309,0)),"※コード未登録"))</f>
        <v/>
      </c>
      <c r="G676" s="16"/>
      <c r="H676" s="8" t="str">
        <f>IF(E676="","",IFERROR(INDEX(食材マスタ!$H$10:$H$309,MATCH(E676,食材マスタ!$C$10:$C$309,0)),""))</f>
        <v/>
      </c>
      <c r="I676" s="15" t="str">
        <f>IF(E676="","",IFERROR(INDEX(食材マスタ!$K$10:$K$309,MATCH(E676,食材マスタ!$C$10:$C$309,0)),""))</f>
        <v/>
      </c>
      <c r="J676" s="15" t="str">
        <f t="shared" si="50"/>
        <v/>
      </c>
      <c r="K676" s="20"/>
      <c r="L676" s="8" t="str">
        <f t="shared" si="51"/>
        <v/>
      </c>
      <c r="M676" s="9"/>
      <c r="N676" s="13" t="str">
        <f t="shared" si="52"/>
        <v/>
      </c>
      <c r="O676" s="22" t="str">
        <f t="shared" ca="1" si="53"/>
        <v/>
      </c>
      <c r="P676" s="17" t="str">
        <f t="shared" si="54"/>
        <v/>
      </c>
      <c r="Q676" s="11"/>
      <c r="R676" s="19"/>
      <c r="S676" s="19"/>
      <c r="U676">
        <f ca="1">IF(AND(ISNUMBER(O676),O676&lt;=設定!$C$4),1,0)</f>
        <v>0</v>
      </c>
      <c r="V676" t="str">
        <f ca="1">IF(U676=1,SUM($U$10:U676),"")</f>
        <v/>
      </c>
    </row>
    <row r="677" spans="2:22">
      <c r="B677" s="8" t="str">
        <f>IF(C677="","",COUNT($C$10:C677))</f>
        <v/>
      </c>
      <c r="C677" s="20"/>
      <c r="D677" s="11"/>
      <c r="E677" s="9"/>
      <c r="F677" s="21" t="str">
        <f>IF(E677="","",IFERROR(INDEX(食材マスタ!$D$10:$D$309,MATCH(E677,食材マスタ!$C$10:$C$309,0)),"※コード未登録"))</f>
        <v/>
      </c>
      <c r="G677" s="16"/>
      <c r="H677" s="8" t="str">
        <f>IF(E677="","",IFERROR(INDEX(食材マスタ!$H$10:$H$309,MATCH(E677,食材マスタ!$C$10:$C$309,0)),""))</f>
        <v/>
      </c>
      <c r="I677" s="15" t="str">
        <f>IF(E677="","",IFERROR(INDEX(食材マスタ!$K$10:$K$309,MATCH(E677,食材マスタ!$C$10:$C$309,0)),""))</f>
        <v/>
      </c>
      <c r="J677" s="15" t="str">
        <f t="shared" si="50"/>
        <v/>
      </c>
      <c r="K677" s="20"/>
      <c r="L677" s="8" t="str">
        <f t="shared" si="51"/>
        <v/>
      </c>
      <c r="M677" s="9"/>
      <c r="N677" s="13" t="str">
        <f t="shared" si="52"/>
        <v/>
      </c>
      <c r="O677" s="22" t="str">
        <f t="shared" ca="1" si="53"/>
        <v/>
      </c>
      <c r="P677" s="17" t="str">
        <f t="shared" si="54"/>
        <v/>
      </c>
      <c r="Q677" s="11"/>
      <c r="R677" s="19"/>
      <c r="S677" s="19"/>
      <c r="U677">
        <f ca="1">IF(AND(ISNUMBER(O677),O677&lt;=設定!$C$4),1,0)</f>
        <v>0</v>
      </c>
      <c r="V677" t="str">
        <f ca="1">IF(U677=1,SUM($U$10:U677),"")</f>
        <v/>
      </c>
    </row>
    <row r="678" spans="2:22">
      <c r="B678" s="8" t="str">
        <f>IF(C678="","",COUNT($C$10:C678))</f>
        <v/>
      </c>
      <c r="C678" s="20"/>
      <c r="D678" s="11"/>
      <c r="E678" s="9"/>
      <c r="F678" s="21" t="str">
        <f>IF(E678="","",IFERROR(INDEX(食材マスタ!$D$10:$D$309,MATCH(E678,食材マスタ!$C$10:$C$309,0)),"※コード未登録"))</f>
        <v/>
      </c>
      <c r="G678" s="16"/>
      <c r="H678" s="8" t="str">
        <f>IF(E678="","",IFERROR(INDEX(食材マスタ!$H$10:$H$309,MATCH(E678,食材マスタ!$C$10:$C$309,0)),""))</f>
        <v/>
      </c>
      <c r="I678" s="15" t="str">
        <f>IF(E678="","",IFERROR(INDEX(食材マスタ!$K$10:$K$309,MATCH(E678,食材マスタ!$C$10:$C$309,0)),""))</f>
        <v/>
      </c>
      <c r="J678" s="15" t="str">
        <f t="shared" si="50"/>
        <v/>
      </c>
      <c r="K678" s="20"/>
      <c r="L678" s="8" t="str">
        <f t="shared" si="51"/>
        <v/>
      </c>
      <c r="M678" s="9"/>
      <c r="N678" s="13" t="str">
        <f t="shared" si="52"/>
        <v/>
      </c>
      <c r="O678" s="22" t="str">
        <f t="shared" ca="1" si="53"/>
        <v/>
      </c>
      <c r="P678" s="17" t="str">
        <f t="shared" si="54"/>
        <v/>
      </c>
      <c r="Q678" s="11"/>
      <c r="R678" s="19"/>
      <c r="S678" s="19"/>
      <c r="U678">
        <f ca="1">IF(AND(ISNUMBER(O678),O678&lt;=設定!$C$4),1,0)</f>
        <v>0</v>
      </c>
      <c r="V678" t="str">
        <f ca="1">IF(U678=1,SUM($U$10:U678),"")</f>
        <v/>
      </c>
    </row>
    <row r="679" spans="2:22">
      <c r="B679" s="8" t="str">
        <f>IF(C679="","",COUNT($C$10:C679))</f>
        <v/>
      </c>
      <c r="C679" s="20"/>
      <c r="D679" s="11"/>
      <c r="E679" s="9"/>
      <c r="F679" s="21" t="str">
        <f>IF(E679="","",IFERROR(INDEX(食材マスタ!$D$10:$D$309,MATCH(E679,食材マスタ!$C$10:$C$309,0)),"※コード未登録"))</f>
        <v/>
      </c>
      <c r="G679" s="16"/>
      <c r="H679" s="8" t="str">
        <f>IF(E679="","",IFERROR(INDEX(食材マスタ!$H$10:$H$309,MATCH(E679,食材マスタ!$C$10:$C$309,0)),""))</f>
        <v/>
      </c>
      <c r="I679" s="15" t="str">
        <f>IF(E679="","",IFERROR(INDEX(食材マスタ!$K$10:$K$309,MATCH(E679,食材マスタ!$C$10:$C$309,0)),""))</f>
        <v/>
      </c>
      <c r="J679" s="15" t="str">
        <f t="shared" si="50"/>
        <v/>
      </c>
      <c r="K679" s="20"/>
      <c r="L679" s="8" t="str">
        <f t="shared" si="51"/>
        <v/>
      </c>
      <c r="M679" s="9"/>
      <c r="N679" s="13" t="str">
        <f t="shared" si="52"/>
        <v/>
      </c>
      <c r="O679" s="22" t="str">
        <f t="shared" ca="1" si="53"/>
        <v/>
      </c>
      <c r="P679" s="17" t="str">
        <f t="shared" si="54"/>
        <v/>
      </c>
      <c r="Q679" s="11"/>
      <c r="R679" s="19"/>
      <c r="S679" s="19"/>
      <c r="U679">
        <f ca="1">IF(AND(ISNUMBER(O679),O679&lt;=設定!$C$4),1,0)</f>
        <v>0</v>
      </c>
      <c r="V679" t="str">
        <f ca="1">IF(U679=1,SUM($U$10:U679),"")</f>
        <v/>
      </c>
    </row>
    <row r="680" spans="2:22">
      <c r="B680" s="8" t="str">
        <f>IF(C680="","",COUNT($C$10:C680))</f>
        <v/>
      </c>
      <c r="C680" s="20"/>
      <c r="D680" s="11"/>
      <c r="E680" s="9"/>
      <c r="F680" s="21" t="str">
        <f>IF(E680="","",IFERROR(INDEX(食材マスタ!$D$10:$D$309,MATCH(E680,食材マスタ!$C$10:$C$309,0)),"※コード未登録"))</f>
        <v/>
      </c>
      <c r="G680" s="16"/>
      <c r="H680" s="8" t="str">
        <f>IF(E680="","",IFERROR(INDEX(食材マスタ!$H$10:$H$309,MATCH(E680,食材マスタ!$C$10:$C$309,0)),""))</f>
        <v/>
      </c>
      <c r="I680" s="15" t="str">
        <f>IF(E680="","",IFERROR(INDEX(食材マスタ!$K$10:$K$309,MATCH(E680,食材マスタ!$C$10:$C$309,0)),""))</f>
        <v/>
      </c>
      <c r="J680" s="15" t="str">
        <f t="shared" si="50"/>
        <v/>
      </c>
      <c r="K680" s="20"/>
      <c r="L680" s="8" t="str">
        <f t="shared" si="51"/>
        <v/>
      </c>
      <c r="M680" s="9"/>
      <c r="N680" s="13" t="str">
        <f t="shared" si="52"/>
        <v/>
      </c>
      <c r="O680" s="22" t="str">
        <f t="shared" ca="1" si="53"/>
        <v/>
      </c>
      <c r="P680" s="17" t="str">
        <f t="shared" si="54"/>
        <v/>
      </c>
      <c r="Q680" s="11"/>
      <c r="R680" s="19"/>
      <c r="S680" s="19"/>
      <c r="U680">
        <f ca="1">IF(AND(ISNUMBER(O680),O680&lt;=設定!$C$4),1,0)</f>
        <v>0</v>
      </c>
      <c r="V680" t="str">
        <f ca="1">IF(U680=1,SUM($U$10:U680),"")</f>
        <v/>
      </c>
    </row>
    <row r="681" spans="2:22">
      <c r="B681" s="8" t="str">
        <f>IF(C681="","",COUNT($C$10:C681))</f>
        <v/>
      </c>
      <c r="C681" s="20"/>
      <c r="D681" s="11"/>
      <c r="E681" s="9"/>
      <c r="F681" s="21" t="str">
        <f>IF(E681="","",IFERROR(INDEX(食材マスタ!$D$10:$D$309,MATCH(E681,食材マスタ!$C$10:$C$309,0)),"※コード未登録"))</f>
        <v/>
      </c>
      <c r="G681" s="16"/>
      <c r="H681" s="8" t="str">
        <f>IF(E681="","",IFERROR(INDEX(食材マスタ!$H$10:$H$309,MATCH(E681,食材マスタ!$C$10:$C$309,0)),""))</f>
        <v/>
      </c>
      <c r="I681" s="15" t="str">
        <f>IF(E681="","",IFERROR(INDEX(食材マスタ!$K$10:$K$309,MATCH(E681,食材マスタ!$C$10:$C$309,0)),""))</f>
        <v/>
      </c>
      <c r="J681" s="15" t="str">
        <f t="shared" si="50"/>
        <v/>
      </c>
      <c r="K681" s="20"/>
      <c r="L681" s="8" t="str">
        <f t="shared" si="51"/>
        <v/>
      </c>
      <c r="M681" s="9"/>
      <c r="N681" s="13" t="str">
        <f t="shared" si="52"/>
        <v/>
      </c>
      <c r="O681" s="22" t="str">
        <f t="shared" ca="1" si="53"/>
        <v/>
      </c>
      <c r="P681" s="17" t="str">
        <f t="shared" si="54"/>
        <v/>
      </c>
      <c r="Q681" s="11"/>
      <c r="R681" s="19"/>
      <c r="S681" s="19"/>
      <c r="U681">
        <f ca="1">IF(AND(ISNUMBER(O681),O681&lt;=設定!$C$4),1,0)</f>
        <v>0</v>
      </c>
      <c r="V681" t="str">
        <f ca="1">IF(U681=1,SUM($U$10:U681),"")</f>
        <v/>
      </c>
    </row>
    <row r="682" spans="2:22">
      <c r="B682" s="8" t="str">
        <f>IF(C682="","",COUNT($C$10:C682))</f>
        <v/>
      </c>
      <c r="C682" s="20"/>
      <c r="D682" s="11"/>
      <c r="E682" s="9"/>
      <c r="F682" s="21" t="str">
        <f>IF(E682="","",IFERROR(INDEX(食材マスタ!$D$10:$D$309,MATCH(E682,食材マスタ!$C$10:$C$309,0)),"※コード未登録"))</f>
        <v/>
      </c>
      <c r="G682" s="16"/>
      <c r="H682" s="8" t="str">
        <f>IF(E682="","",IFERROR(INDEX(食材マスタ!$H$10:$H$309,MATCH(E682,食材マスタ!$C$10:$C$309,0)),""))</f>
        <v/>
      </c>
      <c r="I682" s="15" t="str">
        <f>IF(E682="","",IFERROR(INDEX(食材マスタ!$K$10:$K$309,MATCH(E682,食材マスタ!$C$10:$C$309,0)),""))</f>
        <v/>
      </c>
      <c r="J682" s="15" t="str">
        <f t="shared" si="50"/>
        <v/>
      </c>
      <c r="K682" s="20"/>
      <c r="L682" s="8" t="str">
        <f t="shared" si="51"/>
        <v/>
      </c>
      <c r="M682" s="9"/>
      <c r="N682" s="13" t="str">
        <f t="shared" si="52"/>
        <v/>
      </c>
      <c r="O682" s="22" t="str">
        <f t="shared" ca="1" si="53"/>
        <v/>
      </c>
      <c r="P682" s="17" t="str">
        <f t="shared" si="54"/>
        <v/>
      </c>
      <c r="Q682" s="11"/>
      <c r="R682" s="19"/>
      <c r="S682" s="19"/>
      <c r="U682">
        <f ca="1">IF(AND(ISNUMBER(O682),O682&lt;=設定!$C$4),1,0)</f>
        <v>0</v>
      </c>
      <c r="V682" t="str">
        <f ca="1">IF(U682=1,SUM($U$10:U682),"")</f>
        <v/>
      </c>
    </row>
    <row r="683" spans="2:22">
      <c r="B683" s="8" t="str">
        <f>IF(C683="","",COUNT($C$10:C683))</f>
        <v/>
      </c>
      <c r="C683" s="20"/>
      <c r="D683" s="11"/>
      <c r="E683" s="9"/>
      <c r="F683" s="21" t="str">
        <f>IF(E683="","",IFERROR(INDEX(食材マスタ!$D$10:$D$309,MATCH(E683,食材マスタ!$C$10:$C$309,0)),"※コード未登録"))</f>
        <v/>
      </c>
      <c r="G683" s="16"/>
      <c r="H683" s="8" t="str">
        <f>IF(E683="","",IFERROR(INDEX(食材マスタ!$H$10:$H$309,MATCH(E683,食材マスタ!$C$10:$C$309,0)),""))</f>
        <v/>
      </c>
      <c r="I683" s="15" t="str">
        <f>IF(E683="","",IFERROR(INDEX(食材マスタ!$K$10:$K$309,MATCH(E683,食材マスタ!$C$10:$C$309,0)),""))</f>
        <v/>
      </c>
      <c r="J683" s="15" t="str">
        <f t="shared" si="50"/>
        <v/>
      </c>
      <c r="K683" s="20"/>
      <c r="L683" s="8" t="str">
        <f t="shared" si="51"/>
        <v/>
      </c>
      <c r="M683" s="9"/>
      <c r="N683" s="13" t="str">
        <f t="shared" si="52"/>
        <v/>
      </c>
      <c r="O683" s="22" t="str">
        <f t="shared" ca="1" si="53"/>
        <v/>
      </c>
      <c r="P683" s="17" t="str">
        <f t="shared" si="54"/>
        <v/>
      </c>
      <c r="Q683" s="11"/>
      <c r="R683" s="19"/>
      <c r="S683" s="19"/>
      <c r="U683">
        <f ca="1">IF(AND(ISNUMBER(O683),O683&lt;=設定!$C$4),1,0)</f>
        <v>0</v>
      </c>
      <c r="V683" t="str">
        <f ca="1">IF(U683=1,SUM($U$10:U683),"")</f>
        <v/>
      </c>
    </row>
    <row r="684" spans="2:22">
      <c r="B684" s="8" t="str">
        <f>IF(C684="","",COUNT($C$10:C684))</f>
        <v/>
      </c>
      <c r="C684" s="20"/>
      <c r="D684" s="11"/>
      <c r="E684" s="9"/>
      <c r="F684" s="21" t="str">
        <f>IF(E684="","",IFERROR(INDEX(食材マスタ!$D$10:$D$309,MATCH(E684,食材マスタ!$C$10:$C$309,0)),"※コード未登録"))</f>
        <v/>
      </c>
      <c r="G684" s="16"/>
      <c r="H684" s="8" t="str">
        <f>IF(E684="","",IFERROR(INDEX(食材マスタ!$H$10:$H$309,MATCH(E684,食材マスタ!$C$10:$C$309,0)),""))</f>
        <v/>
      </c>
      <c r="I684" s="15" t="str">
        <f>IF(E684="","",IFERROR(INDEX(食材マスタ!$K$10:$K$309,MATCH(E684,食材マスタ!$C$10:$C$309,0)),""))</f>
        <v/>
      </c>
      <c r="J684" s="15" t="str">
        <f t="shared" si="50"/>
        <v/>
      </c>
      <c r="K684" s="20"/>
      <c r="L684" s="8" t="str">
        <f t="shared" si="51"/>
        <v/>
      </c>
      <c r="M684" s="9"/>
      <c r="N684" s="13" t="str">
        <f t="shared" si="52"/>
        <v/>
      </c>
      <c r="O684" s="22" t="str">
        <f t="shared" ca="1" si="53"/>
        <v/>
      </c>
      <c r="P684" s="17" t="str">
        <f t="shared" si="54"/>
        <v/>
      </c>
      <c r="Q684" s="11"/>
      <c r="R684" s="19"/>
      <c r="S684" s="19"/>
      <c r="U684">
        <f ca="1">IF(AND(ISNUMBER(O684),O684&lt;=設定!$C$4),1,0)</f>
        <v>0</v>
      </c>
      <c r="V684" t="str">
        <f ca="1">IF(U684=1,SUM($U$10:U684),"")</f>
        <v/>
      </c>
    </row>
    <row r="685" spans="2:22">
      <c r="B685" s="8" t="str">
        <f>IF(C685="","",COUNT($C$10:C685))</f>
        <v/>
      </c>
      <c r="C685" s="20"/>
      <c r="D685" s="11"/>
      <c r="E685" s="9"/>
      <c r="F685" s="21" t="str">
        <f>IF(E685="","",IFERROR(INDEX(食材マスタ!$D$10:$D$309,MATCH(E685,食材マスタ!$C$10:$C$309,0)),"※コード未登録"))</f>
        <v/>
      </c>
      <c r="G685" s="16"/>
      <c r="H685" s="8" t="str">
        <f>IF(E685="","",IFERROR(INDEX(食材マスタ!$H$10:$H$309,MATCH(E685,食材マスタ!$C$10:$C$309,0)),""))</f>
        <v/>
      </c>
      <c r="I685" s="15" t="str">
        <f>IF(E685="","",IFERROR(INDEX(食材マスタ!$K$10:$K$309,MATCH(E685,食材マスタ!$C$10:$C$309,0)),""))</f>
        <v/>
      </c>
      <c r="J685" s="15" t="str">
        <f t="shared" si="50"/>
        <v/>
      </c>
      <c r="K685" s="20"/>
      <c r="L685" s="8" t="str">
        <f t="shared" si="51"/>
        <v/>
      </c>
      <c r="M685" s="9"/>
      <c r="N685" s="13" t="str">
        <f t="shared" si="52"/>
        <v/>
      </c>
      <c r="O685" s="22" t="str">
        <f t="shared" ca="1" si="53"/>
        <v/>
      </c>
      <c r="P685" s="17" t="str">
        <f t="shared" si="54"/>
        <v/>
      </c>
      <c r="Q685" s="11"/>
      <c r="R685" s="19"/>
      <c r="S685" s="19"/>
      <c r="U685">
        <f ca="1">IF(AND(ISNUMBER(O685),O685&lt;=設定!$C$4),1,0)</f>
        <v>0</v>
      </c>
      <c r="V685" t="str">
        <f ca="1">IF(U685=1,SUM($U$10:U685),"")</f>
        <v/>
      </c>
    </row>
    <row r="686" spans="2:22">
      <c r="B686" s="8" t="str">
        <f>IF(C686="","",COUNT($C$10:C686))</f>
        <v/>
      </c>
      <c r="C686" s="20"/>
      <c r="D686" s="11"/>
      <c r="E686" s="9"/>
      <c r="F686" s="21" t="str">
        <f>IF(E686="","",IFERROR(INDEX(食材マスタ!$D$10:$D$309,MATCH(E686,食材マスタ!$C$10:$C$309,0)),"※コード未登録"))</f>
        <v/>
      </c>
      <c r="G686" s="16"/>
      <c r="H686" s="8" t="str">
        <f>IF(E686="","",IFERROR(INDEX(食材マスタ!$H$10:$H$309,MATCH(E686,食材マスタ!$C$10:$C$309,0)),""))</f>
        <v/>
      </c>
      <c r="I686" s="15" t="str">
        <f>IF(E686="","",IFERROR(INDEX(食材マスタ!$K$10:$K$309,MATCH(E686,食材マスタ!$C$10:$C$309,0)),""))</f>
        <v/>
      </c>
      <c r="J686" s="15" t="str">
        <f t="shared" si="50"/>
        <v/>
      </c>
      <c r="K686" s="20"/>
      <c r="L686" s="8" t="str">
        <f t="shared" si="51"/>
        <v/>
      </c>
      <c r="M686" s="9"/>
      <c r="N686" s="13" t="str">
        <f t="shared" si="52"/>
        <v/>
      </c>
      <c r="O686" s="22" t="str">
        <f t="shared" ca="1" si="53"/>
        <v/>
      </c>
      <c r="P686" s="17" t="str">
        <f t="shared" si="54"/>
        <v/>
      </c>
      <c r="Q686" s="11"/>
      <c r="R686" s="19"/>
      <c r="S686" s="19"/>
      <c r="U686">
        <f ca="1">IF(AND(ISNUMBER(O686),O686&lt;=設定!$C$4),1,0)</f>
        <v>0</v>
      </c>
      <c r="V686" t="str">
        <f ca="1">IF(U686=1,SUM($U$10:U686),"")</f>
        <v/>
      </c>
    </row>
    <row r="687" spans="2:22">
      <c r="B687" s="8" t="str">
        <f>IF(C687="","",COUNT($C$10:C687))</f>
        <v/>
      </c>
      <c r="C687" s="20"/>
      <c r="D687" s="11"/>
      <c r="E687" s="9"/>
      <c r="F687" s="21" t="str">
        <f>IF(E687="","",IFERROR(INDEX(食材マスタ!$D$10:$D$309,MATCH(E687,食材マスタ!$C$10:$C$309,0)),"※コード未登録"))</f>
        <v/>
      </c>
      <c r="G687" s="16"/>
      <c r="H687" s="8" t="str">
        <f>IF(E687="","",IFERROR(INDEX(食材マスタ!$H$10:$H$309,MATCH(E687,食材マスタ!$C$10:$C$309,0)),""))</f>
        <v/>
      </c>
      <c r="I687" s="15" t="str">
        <f>IF(E687="","",IFERROR(INDEX(食材マスタ!$K$10:$K$309,MATCH(E687,食材マスタ!$C$10:$C$309,0)),""))</f>
        <v/>
      </c>
      <c r="J687" s="15" t="str">
        <f t="shared" si="50"/>
        <v/>
      </c>
      <c r="K687" s="20"/>
      <c r="L687" s="8" t="str">
        <f t="shared" si="51"/>
        <v/>
      </c>
      <c r="M687" s="9"/>
      <c r="N687" s="13" t="str">
        <f t="shared" si="52"/>
        <v/>
      </c>
      <c r="O687" s="22" t="str">
        <f t="shared" ca="1" si="53"/>
        <v/>
      </c>
      <c r="P687" s="17" t="str">
        <f t="shared" si="54"/>
        <v/>
      </c>
      <c r="Q687" s="11"/>
      <c r="R687" s="19"/>
      <c r="S687" s="19"/>
      <c r="U687">
        <f ca="1">IF(AND(ISNUMBER(O687),O687&lt;=設定!$C$4),1,0)</f>
        <v>0</v>
      </c>
      <c r="V687" t="str">
        <f ca="1">IF(U687=1,SUM($U$10:U687),"")</f>
        <v/>
      </c>
    </row>
    <row r="688" spans="2:22">
      <c r="B688" s="8" t="str">
        <f>IF(C688="","",COUNT($C$10:C688))</f>
        <v/>
      </c>
      <c r="C688" s="20"/>
      <c r="D688" s="11"/>
      <c r="E688" s="9"/>
      <c r="F688" s="21" t="str">
        <f>IF(E688="","",IFERROR(INDEX(食材マスタ!$D$10:$D$309,MATCH(E688,食材マスタ!$C$10:$C$309,0)),"※コード未登録"))</f>
        <v/>
      </c>
      <c r="G688" s="16"/>
      <c r="H688" s="8" t="str">
        <f>IF(E688="","",IFERROR(INDEX(食材マスタ!$H$10:$H$309,MATCH(E688,食材マスタ!$C$10:$C$309,0)),""))</f>
        <v/>
      </c>
      <c r="I688" s="15" t="str">
        <f>IF(E688="","",IFERROR(INDEX(食材マスタ!$K$10:$K$309,MATCH(E688,食材マスタ!$C$10:$C$309,0)),""))</f>
        <v/>
      </c>
      <c r="J688" s="15" t="str">
        <f t="shared" si="50"/>
        <v/>
      </c>
      <c r="K688" s="20"/>
      <c r="L688" s="8" t="str">
        <f t="shared" si="51"/>
        <v/>
      </c>
      <c r="M688" s="9"/>
      <c r="N688" s="13" t="str">
        <f t="shared" si="52"/>
        <v/>
      </c>
      <c r="O688" s="22" t="str">
        <f t="shared" ca="1" si="53"/>
        <v/>
      </c>
      <c r="P688" s="17" t="str">
        <f t="shared" si="54"/>
        <v/>
      </c>
      <c r="Q688" s="11"/>
      <c r="R688" s="19"/>
      <c r="S688" s="19"/>
      <c r="U688">
        <f ca="1">IF(AND(ISNUMBER(O688),O688&lt;=設定!$C$4),1,0)</f>
        <v>0</v>
      </c>
      <c r="V688" t="str">
        <f ca="1">IF(U688=1,SUM($U$10:U688),"")</f>
        <v/>
      </c>
    </row>
    <row r="689" spans="2:22">
      <c r="B689" s="8" t="str">
        <f>IF(C689="","",COUNT($C$10:C689))</f>
        <v/>
      </c>
      <c r="C689" s="20"/>
      <c r="D689" s="11"/>
      <c r="E689" s="9"/>
      <c r="F689" s="21" t="str">
        <f>IF(E689="","",IFERROR(INDEX(食材マスタ!$D$10:$D$309,MATCH(E689,食材マスタ!$C$10:$C$309,0)),"※コード未登録"))</f>
        <v/>
      </c>
      <c r="G689" s="16"/>
      <c r="H689" s="8" t="str">
        <f>IF(E689="","",IFERROR(INDEX(食材マスタ!$H$10:$H$309,MATCH(E689,食材マスタ!$C$10:$C$309,0)),""))</f>
        <v/>
      </c>
      <c r="I689" s="15" t="str">
        <f>IF(E689="","",IFERROR(INDEX(食材マスタ!$K$10:$K$309,MATCH(E689,食材マスタ!$C$10:$C$309,0)),""))</f>
        <v/>
      </c>
      <c r="J689" s="15" t="str">
        <f t="shared" si="50"/>
        <v/>
      </c>
      <c r="K689" s="20"/>
      <c r="L689" s="8" t="str">
        <f t="shared" si="51"/>
        <v/>
      </c>
      <c r="M689" s="9"/>
      <c r="N689" s="13" t="str">
        <f t="shared" si="52"/>
        <v/>
      </c>
      <c r="O689" s="22" t="str">
        <f t="shared" ca="1" si="53"/>
        <v/>
      </c>
      <c r="P689" s="17" t="str">
        <f t="shared" si="54"/>
        <v/>
      </c>
      <c r="Q689" s="11"/>
      <c r="R689" s="19"/>
      <c r="S689" s="19"/>
      <c r="U689">
        <f ca="1">IF(AND(ISNUMBER(O689),O689&lt;=設定!$C$4),1,0)</f>
        <v>0</v>
      </c>
      <c r="V689" t="str">
        <f ca="1">IF(U689=1,SUM($U$10:U689),"")</f>
        <v/>
      </c>
    </row>
    <row r="690" spans="2:22">
      <c r="B690" s="8" t="str">
        <f>IF(C690="","",COUNT($C$10:C690))</f>
        <v/>
      </c>
      <c r="C690" s="20"/>
      <c r="D690" s="11"/>
      <c r="E690" s="9"/>
      <c r="F690" s="21" t="str">
        <f>IF(E690="","",IFERROR(INDEX(食材マスタ!$D$10:$D$309,MATCH(E690,食材マスタ!$C$10:$C$309,0)),"※コード未登録"))</f>
        <v/>
      </c>
      <c r="G690" s="16"/>
      <c r="H690" s="8" t="str">
        <f>IF(E690="","",IFERROR(INDEX(食材マスタ!$H$10:$H$309,MATCH(E690,食材マスタ!$C$10:$C$309,0)),""))</f>
        <v/>
      </c>
      <c r="I690" s="15" t="str">
        <f>IF(E690="","",IFERROR(INDEX(食材マスタ!$K$10:$K$309,MATCH(E690,食材マスタ!$C$10:$C$309,0)),""))</f>
        <v/>
      </c>
      <c r="J690" s="15" t="str">
        <f t="shared" si="50"/>
        <v/>
      </c>
      <c r="K690" s="20"/>
      <c r="L690" s="8" t="str">
        <f t="shared" si="51"/>
        <v/>
      </c>
      <c r="M690" s="9"/>
      <c r="N690" s="13" t="str">
        <f t="shared" si="52"/>
        <v/>
      </c>
      <c r="O690" s="22" t="str">
        <f t="shared" ca="1" si="53"/>
        <v/>
      </c>
      <c r="P690" s="17" t="str">
        <f t="shared" si="54"/>
        <v/>
      </c>
      <c r="Q690" s="11"/>
      <c r="R690" s="19"/>
      <c r="S690" s="19"/>
      <c r="U690">
        <f ca="1">IF(AND(ISNUMBER(O690),O690&lt;=設定!$C$4),1,0)</f>
        <v>0</v>
      </c>
      <c r="V690" t="str">
        <f ca="1">IF(U690=1,SUM($U$10:U690),"")</f>
        <v/>
      </c>
    </row>
    <row r="691" spans="2:22">
      <c r="B691" s="8" t="str">
        <f>IF(C691="","",COUNT($C$10:C691))</f>
        <v/>
      </c>
      <c r="C691" s="20"/>
      <c r="D691" s="11"/>
      <c r="E691" s="9"/>
      <c r="F691" s="21" t="str">
        <f>IF(E691="","",IFERROR(INDEX(食材マスタ!$D$10:$D$309,MATCH(E691,食材マスタ!$C$10:$C$309,0)),"※コード未登録"))</f>
        <v/>
      </c>
      <c r="G691" s="16"/>
      <c r="H691" s="8" t="str">
        <f>IF(E691="","",IFERROR(INDEX(食材マスタ!$H$10:$H$309,MATCH(E691,食材マスタ!$C$10:$C$309,0)),""))</f>
        <v/>
      </c>
      <c r="I691" s="15" t="str">
        <f>IF(E691="","",IFERROR(INDEX(食材マスタ!$K$10:$K$309,MATCH(E691,食材マスタ!$C$10:$C$309,0)),""))</f>
        <v/>
      </c>
      <c r="J691" s="15" t="str">
        <f t="shared" si="50"/>
        <v/>
      </c>
      <c r="K691" s="20"/>
      <c r="L691" s="8" t="str">
        <f t="shared" si="51"/>
        <v/>
      </c>
      <c r="M691" s="9"/>
      <c r="N691" s="13" t="str">
        <f t="shared" si="52"/>
        <v/>
      </c>
      <c r="O691" s="22" t="str">
        <f t="shared" ca="1" si="53"/>
        <v/>
      </c>
      <c r="P691" s="17" t="str">
        <f t="shared" si="54"/>
        <v/>
      </c>
      <c r="Q691" s="11"/>
      <c r="R691" s="19"/>
      <c r="S691" s="19"/>
      <c r="U691">
        <f ca="1">IF(AND(ISNUMBER(O691),O691&lt;=設定!$C$4),1,0)</f>
        <v>0</v>
      </c>
      <c r="V691" t="str">
        <f ca="1">IF(U691=1,SUM($U$10:U691),"")</f>
        <v/>
      </c>
    </row>
    <row r="692" spans="2:22">
      <c r="B692" s="8" t="str">
        <f>IF(C692="","",COUNT($C$10:C692))</f>
        <v/>
      </c>
      <c r="C692" s="20"/>
      <c r="D692" s="11"/>
      <c r="E692" s="9"/>
      <c r="F692" s="21" t="str">
        <f>IF(E692="","",IFERROR(INDEX(食材マスタ!$D$10:$D$309,MATCH(E692,食材マスタ!$C$10:$C$309,0)),"※コード未登録"))</f>
        <v/>
      </c>
      <c r="G692" s="16"/>
      <c r="H692" s="8" t="str">
        <f>IF(E692="","",IFERROR(INDEX(食材マスタ!$H$10:$H$309,MATCH(E692,食材マスタ!$C$10:$C$309,0)),""))</f>
        <v/>
      </c>
      <c r="I692" s="15" t="str">
        <f>IF(E692="","",IFERROR(INDEX(食材マスタ!$K$10:$K$309,MATCH(E692,食材マスタ!$C$10:$C$309,0)),""))</f>
        <v/>
      </c>
      <c r="J692" s="15" t="str">
        <f t="shared" si="50"/>
        <v/>
      </c>
      <c r="K692" s="20"/>
      <c r="L692" s="8" t="str">
        <f t="shared" si="51"/>
        <v/>
      </c>
      <c r="M692" s="9"/>
      <c r="N692" s="13" t="str">
        <f t="shared" si="52"/>
        <v/>
      </c>
      <c r="O692" s="22" t="str">
        <f t="shared" ca="1" si="53"/>
        <v/>
      </c>
      <c r="P692" s="17" t="str">
        <f t="shared" si="54"/>
        <v/>
      </c>
      <c r="Q692" s="11"/>
      <c r="R692" s="19"/>
      <c r="S692" s="19"/>
      <c r="U692">
        <f ca="1">IF(AND(ISNUMBER(O692),O692&lt;=設定!$C$4),1,0)</f>
        <v>0</v>
      </c>
      <c r="V692" t="str">
        <f ca="1">IF(U692=1,SUM($U$10:U692),"")</f>
        <v/>
      </c>
    </row>
    <row r="693" spans="2:22">
      <c r="B693" s="8" t="str">
        <f>IF(C693="","",COUNT($C$10:C693))</f>
        <v/>
      </c>
      <c r="C693" s="20"/>
      <c r="D693" s="11"/>
      <c r="E693" s="9"/>
      <c r="F693" s="21" t="str">
        <f>IF(E693="","",IFERROR(INDEX(食材マスタ!$D$10:$D$309,MATCH(E693,食材マスタ!$C$10:$C$309,0)),"※コード未登録"))</f>
        <v/>
      </c>
      <c r="G693" s="16"/>
      <c r="H693" s="8" t="str">
        <f>IF(E693="","",IFERROR(INDEX(食材マスタ!$H$10:$H$309,MATCH(E693,食材マスタ!$C$10:$C$309,0)),""))</f>
        <v/>
      </c>
      <c r="I693" s="15" t="str">
        <f>IF(E693="","",IFERROR(INDEX(食材マスタ!$K$10:$K$309,MATCH(E693,食材マスタ!$C$10:$C$309,0)),""))</f>
        <v/>
      </c>
      <c r="J693" s="15" t="str">
        <f t="shared" si="50"/>
        <v/>
      </c>
      <c r="K693" s="20"/>
      <c r="L693" s="8" t="str">
        <f t="shared" si="51"/>
        <v/>
      </c>
      <c r="M693" s="9"/>
      <c r="N693" s="13" t="str">
        <f t="shared" si="52"/>
        <v/>
      </c>
      <c r="O693" s="22" t="str">
        <f t="shared" ca="1" si="53"/>
        <v/>
      </c>
      <c r="P693" s="17" t="str">
        <f t="shared" si="54"/>
        <v/>
      </c>
      <c r="Q693" s="11"/>
      <c r="R693" s="19"/>
      <c r="S693" s="19"/>
      <c r="U693">
        <f ca="1">IF(AND(ISNUMBER(O693),O693&lt;=設定!$C$4),1,0)</f>
        <v>0</v>
      </c>
      <c r="V693" t="str">
        <f ca="1">IF(U693=1,SUM($U$10:U693),"")</f>
        <v/>
      </c>
    </row>
    <row r="694" spans="2:22">
      <c r="B694" s="8" t="str">
        <f>IF(C694="","",COUNT($C$10:C694))</f>
        <v/>
      </c>
      <c r="C694" s="20"/>
      <c r="D694" s="11"/>
      <c r="E694" s="9"/>
      <c r="F694" s="21" t="str">
        <f>IF(E694="","",IFERROR(INDEX(食材マスタ!$D$10:$D$309,MATCH(E694,食材マスタ!$C$10:$C$309,0)),"※コード未登録"))</f>
        <v/>
      </c>
      <c r="G694" s="16"/>
      <c r="H694" s="8" t="str">
        <f>IF(E694="","",IFERROR(INDEX(食材マスタ!$H$10:$H$309,MATCH(E694,食材マスタ!$C$10:$C$309,0)),""))</f>
        <v/>
      </c>
      <c r="I694" s="15" t="str">
        <f>IF(E694="","",IFERROR(INDEX(食材マスタ!$K$10:$K$309,MATCH(E694,食材マスタ!$C$10:$C$309,0)),""))</f>
        <v/>
      </c>
      <c r="J694" s="15" t="str">
        <f t="shared" si="50"/>
        <v/>
      </c>
      <c r="K694" s="20"/>
      <c r="L694" s="8" t="str">
        <f t="shared" si="51"/>
        <v/>
      </c>
      <c r="M694" s="9"/>
      <c r="N694" s="13" t="str">
        <f t="shared" si="52"/>
        <v/>
      </c>
      <c r="O694" s="22" t="str">
        <f t="shared" ca="1" si="53"/>
        <v/>
      </c>
      <c r="P694" s="17" t="str">
        <f t="shared" si="54"/>
        <v/>
      </c>
      <c r="Q694" s="11"/>
      <c r="R694" s="19"/>
      <c r="S694" s="19"/>
      <c r="U694">
        <f ca="1">IF(AND(ISNUMBER(O694),O694&lt;=設定!$C$4),1,0)</f>
        <v>0</v>
      </c>
      <c r="V694" t="str">
        <f ca="1">IF(U694=1,SUM($U$10:U694),"")</f>
        <v/>
      </c>
    </row>
    <row r="695" spans="2:22">
      <c r="B695" s="8" t="str">
        <f>IF(C695="","",COUNT($C$10:C695))</f>
        <v/>
      </c>
      <c r="C695" s="20"/>
      <c r="D695" s="11"/>
      <c r="E695" s="9"/>
      <c r="F695" s="21" t="str">
        <f>IF(E695="","",IFERROR(INDEX(食材マスタ!$D$10:$D$309,MATCH(E695,食材マスタ!$C$10:$C$309,0)),"※コード未登録"))</f>
        <v/>
      </c>
      <c r="G695" s="16"/>
      <c r="H695" s="8" t="str">
        <f>IF(E695="","",IFERROR(INDEX(食材マスタ!$H$10:$H$309,MATCH(E695,食材マスタ!$C$10:$C$309,0)),""))</f>
        <v/>
      </c>
      <c r="I695" s="15" t="str">
        <f>IF(E695="","",IFERROR(INDEX(食材マスタ!$K$10:$K$309,MATCH(E695,食材マスタ!$C$10:$C$309,0)),""))</f>
        <v/>
      </c>
      <c r="J695" s="15" t="str">
        <f t="shared" si="50"/>
        <v/>
      </c>
      <c r="K695" s="20"/>
      <c r="L695" s="8" t="str">
        <f t="shared" si="51"/>
        <v/>
      </c>
      <c r="M695" s="9"/>
      <c r="N695" s="13" t="str">
        <f t="shared" si="52"/>
        <v/>
      </c>
      <c r="O695" s="22" t="str">
        <f t="shared" ca="1" si="53"/>
        <v/>
      </c>
      <c r="P695" s="17" t="str">
        <f t="shared" si="54"/>
        <v/>
      </c>
      <c r="Q695" s="11"/>
      <c r="R695" s="19"/>
      <c r="S695" s="19"/>
      <c r="U695">
        <f ca="1">IF(AND(ISNUMBER(O695),O695&lt;=設定!$C$4),1,0)</f>
        <v>0</v>
      </c>
      <c r="V695" t="str">
        <f ca="1">IF(U695=1,SUM($U$10:U695),"")</f>
        <v/>
      </c>
    </row>
    <row r="696" spans="2:22">
      <c r="B696" s="8" t="str">
        <f>IF(C696="","",COUNT($C$10:C696))</f>
        <v/>
      </c>
      <c r="C696" s="20"/>
      <c r="D696" s="11"/>
      <c r="E696" s="9"/>
      <c r="F696" s="21" t="str">
        <f>IF(E696="","",IFERROR(INDEX(食材マスタ!$D$10:$D$309,MATCH(E696,食材マスタ!$C$10:$C$309,0)),"※コード未登録"))</f>
        <v/>
      </c>
      <c r="G696" s="16"/>
      <c r="H696" s="8" t="str">
        <f>IF(E696="","",IFERROR(INDEX(食材マスタ!$H$10:$H$309,MATCH(E696,食材マスタ!$C$10:$C$309,0)),""))</f>
        <v/>
      </c>
      <c r="I696" s="15" t="str">
        <f>IF(E696="","",IFERROR(INDEX(食材マスタ!$K$10:$K$309,MATCH(E696,食材マスタ!$C$10:$C$309,0)),""))</f>
        <v/>
      </c>
      <c r="J696" s="15" t="str">
        <f t="shared" si="50"/>
        <v/>
      </c>
      <c r="K696" s="20"/>
      <c r="L696" s="8" t="str">
        <f t="shared" si="51"/>
        <v/>
      </c>
      <c r="M696" s="9"/>
      <c r="N696" s="13" t="str">
        <f t="shared" si="52"/>
        <v/>
      </c>
      <c r="O696" s="22" t="str">
        <f t="shared" ca="1" si="53"/>
        <v/>
      </c>
      <c r="P696" s="17" t="str">
        <f t="shared" si="54"/>
        <v/>
      </c>
      <c r="Q696" s="11"/>
      <c r="R696" s="19"/>
      <c r="S696" s="19"/>
      <c r="U696">
        <f ca="1">IF(AND(ISNUMBER(O696),O696&lt;=設定!$C$4),1,0)</f>
        <v>0</v>
      </c>
      <c r="V696" t="str">
        <f ca="1">IF(U696=1,SUM($U$10:U696),"")</f>
        <v/>
      </c>
    </row>
    <row r="697" spans="2:22">
      <c r="B697" s="8" t="str">
        <f>IF(C697="","",COUNT($C$10:C697))</f>
        <v/>
      </c>
      <c r="C697" s="20"/>
      <c r="D697" s="11"/>
      <c r="E697" s="9"/>
      <c r="F697" s="21" t="str">
        <f>IF(E697="","",IFERROR(INDEX(食材マスタ!$D$10:$D$309,MATCH(E697,食材マスタ!$C$10:$C$309,0)),"※コード未登録"))</f>
        <v/>
      </c>
      <c r="G697" s="16"/>
      <c r="H697" s="8" t="str">
        <f>IF(E697="","",IFERROR(INDEX(食材マスタ!$H$10:$H$309,MATCH(E697,食材マスタ!$C$10:$C$309,0)),""))</f>
        <v/>
      </c>
      <c r="I697" s="15" t="str">
        <f>IF(E697="","",IFERROR(INDEX(食材マスタ!$K$10:$K$309,MATCH(E697,食材マスタ!$C$10:$C$309,0)),""))</f>
        <v/>
      </c>
      <c r="J697" s="15" t="str">
        <f t="shared" si="50"/>
        <v/>
      </c>
      <c r="K697" s="20"/>
      <c r="L697" s="8" t="str">
        <f t="shared" si="51"/>
        <v/>
      </c>
      <c r="M697" s="9"/>
      <c r="N697" s="13" t="str">
        <f t="shared" si="52"/>
        <v/>
      </c>
      <c r="O697" s="22" t="str">
        <f t="shared" ca="1" si="53"/>
        <v/>
      </c>
      <c r="P697" s="17" t="str">
        <f t="shared" si="54"/>
        <v/>
      </c>
      <c r="Q697" s="11"/>
      <c r="R697" s="19"/>
      <c r="S697" s="19"/>
      <c r="U697">
        <f ca="1">IF(AND(ISNUMBER(O697),O697&lt;=設定!$C$4),1,0)</f>
        <v>0</v>
      </c>
      <c r="V697" t="str">
        <f ca="1">IF(U697=1,SUM($U$10:U697),"")</f>
        <v/>
      </c>
    </row>
    <row r="698" spans="2:22">
      <c r="B698" s="8" t="str">
        <f>IF(C698="","",COUNT($C$10:C698))</f>
        <v/>
      </c>
      <c r="C698" s="20"/>
      <c r="D698" s="11"/>
      <c r="E698" s="9"/>
      <c r="F698" s="21" t="str">
        <f>IF(E698="","",IFERROR(INDEX(食材マスタ!$D$10:$D$309,MATCH(E698,食材マスタ!$C$10:$C$309,0)),"※コード未登録"))</f>
        <v/>
      </c>
      <c r="G698" s="16"/>
      <c r="H698" s="8" t="str">
        <f>IF(E698="","",IFERROR(INDEX(食材マスタ!$H$10:$H$309,MATCH(E698,食材マスタ!$C$10:$C$309,0)),""))</f>
        <v/>
      </c>
      <c r="I698" s="15" t="str">
        <f>IF(E698="","",IFERROR(INDEX(食材マスタ!$K$10:$K$309,MATCH(E698,食材マスタ!$C$10:$C$309,0)),""))</f>
        <v/>
      </c>
      <c r="J698" s="15" t="str">
        <f t="shared" si="50"/>
        <v/>
      </c>
      <c r="K698" s="20"/>
      <c r="L698" s="8" t="str">
        <f t="shared" si="51"/>
        <v/>
      </c>
      <c r="M698" s="9"/>
      <c r="N698" s="13" t="str">
        <f t="shared" si="52"/>
        <v/>
      </c>
      <c r="O698" s="22" t="str">
        <f t="shared" ca="1" si="53"/>
        <v/>
      </c>
      <c r="P698" s="17" t="str">
        <f t="shared" si="54"/>
        <v/>
      </c>
      <c r="Q698" s="11"/>
      <c r="R698" s="19"/>
      <c r="S698" s="19"/>
      <c r="U698">
        <f ca="1">IF(AND(ISNUMBER(O698),O698&lt;=設定!$C$4),1,0)</f>
        <v>0</v>
      </c>
      <c r="V698" t="str">
        <f ca="1">IF(U698=1,SUM($U$10:U698),"")</f>
        <v/>
      </c>
    </row>
    <row r="699" spans="2:22">
      <c r="B699" s="8" t="str">
        <f>IF(C699="","",COUNT($C$10:C699))</f>
        <v/>
      </c>
      <c r="C699" s="20"/>
      <c r="D699" s="11"/>
      <c r="E699" s="9"/>
      <c r="F699" s="21" t="str">
        <f>IF(E699="","",IFERROR(INDEX(食材マスタ!$D$10:$D$309,MATCH(E699,食材マスタ!$C$10:$C$309,0)),"※コード未登録"))</f>
        <v/>
      </c>
      <c r="G699" s="16"/>
      <c r="H699" s="8" t="str">
        <f>IF(E699="","",IFERROR(INDEX(食材マスタ!$H$10:$H$309,MATCH(E699,食材マスタ!$C$10:$C$309,0)),""))</f>
        <v/>
      </c>
      <c r="I699" s="15" t="str">
        <f>IF(E699="","",IFERROR(INDEX(食材マスタ!$K$10:$K$309,MATCH(E699,食材マスタ!$C$10:$C$309,0)),""))</f>
        <v/>
      </c>
      <c r="J699" s="15" t="str">
        <f t="shared" si="50"/>
        <v/>
      </c>
      <c r="K699" s="20"/>
      <c r="L699" s="8" t="str">
        <f t="shared" si="51"/>
        <v/>
      </c>
      <c r="M699" s="9"/>
      <c r="N699" s="13" t="str">
        <f t="shared" si="52"/>
        <v/>
      </c>
      <c r="O699" s="22" t="str">
        <f t="shared" ca="1" si="53"/>
        <v/>
      </c>
      <c r="P699" s="17" t="str">
        <f t="shared" si="54"/>
        <v/>
      </c>
      <c r="Q699" s="11"/>
      <c r="R699" s="19"/>
      <c r="S699" s="19"/>
      <c r="U699">
        <f ca="1">IF(AND(ISNUMBER(O699),O699&lt;=設定!$C$4),1,0)</f>
        <v>0</v>
      </c>
      <c r="V699" t="str">
        <f ca="1">IF(U699=1,SUM($U$10:U699),"")</f>
        <v/>
      </c>
    </row>
    <row r="700" spans="2:22">
      <c r="B700" s="8" t="str">
        <f>IF(C700="","",COUNT($C$10:C700))</f>
        <v/>
      </c>
      <c r="C700" s="20"/>
      <c r="D700" s="11"/>
      <c r="E700" s="9"/>
      <c r="F700" s="21" t="str">
        <f>IF(E700="","",IFERROR(INDEX(食材マスタ!$D$10:$D$309,MATCH(E700,食材マスタ!$C$10:$C$309,0)),"※コード未登録"))</f>
        <v/>
      </c>
      <c r="G700" s="16"/>
      <c r="H700" s="8" t="str">
        <f>IF(E700="","",IFERROR(INDEX(食材マスタ!$H$10:$H$309,MATCH(E700,食材マスタ!$C$10:$C$309,0)),""))</f>
        <v/>
      </c>
      <c r="I700" s="15" t="str">
        <f>IF(E700="","",IFERROR(INDEX(食材マスタ!$K$10:$K$309,MATCH(E700,食材マスタ!$C$10:$C$309,0)),""))</f>
        <v/>
      </c>
      <c r="J700" s="15" t="str">
        <f t="shared" si="50"/>
        <v/>
      </c>
      <c r="K700" s="20"/>
      <c r="L700" s="8" t="str">
        <f t="shared" si="51"/>
        <v/>
      </c>
      <c r="M700" s="9"/>
      <c r="N700" s="13" t="str">
        <f t="shared" si="52"/>
        <v/>
      </c>
      <c r="O700" s="22" t="str">
        <f t="shared" ca="1" si="53"/>
        <v/>
      </c>
      <c r="P700" s="17" t="str">
        <f t="shared" si="54"/>
        <v/>
      </c>
      <c r="Q700" s="11"/>
      <c r="R700" s="19"/>
      <c r="S700" s="19"/>
      <c r="U700">
        <f ca="1">IF(AND(ISNUMBER(O700),O700&lt;=設定!$C$4),1,0)</f>
        <v>0</v>
      </c>
      <c r="V700" t="str">
        <f ca="1">IF(U700=1,SUM($U$10:U700),"")</f>
        <v/>
      </c>
    </row>
    <row r="701" spans="2:22">
      <c r="B701" s="8" t="str">
        <f>IF(C701="","",COUNT($C$10:C701))</f>
        <v/>
      </c>
      <c r="C701" s="20"/>
      <c r="D701" s="11"/>
      <c r="E701" s="9"/>
      <c r="F701" s="21" t="str">
        <f>IF(E701="","",IFERROR(INDEX(食材マスタ!$D$10:$D$309,MATCH(E701,食材マスタ!$C$10:$C$309,0)),"※コード未登録"))</f>
        <v/>
      </c>
      <c r="G701" s="16"/>
      <c r="H701" s="8" t="str">
        <f>IF(E701="","",IFERROR(INDEX(食材マスタ!$H$10:$H$309,MATCH(E701,食材マスタ!$C$10:$C$309,0)),""))</f>
        <v/>
      </c>
      <c r="I701" s="15" t="str">
        <f>IF(E701="","",IFERROR(INDEX(食材マスタ!$K$10:$K$309,MATCH(E701,食材マスタ!$C$10:$C$309,0)),""))</f>
        <v/>
      </c>
      <c r="J701" s="15" t="str">
        <f t="shared" si="50"/>
        <v/>
      </c>
      <c r="K701" s="20"/>
      <c r="L701" s="8" t="str">
        <f t="shared" si="51"/>
        <v/>
      </c>
      <c r="M701" s="9"/>
      <c r="N701" s="13" t="str">
        <f t="shared" si="52"/>
        <v/>
      </c>
      <c r="O701" s="22" t="str">
        <f t="shared" ca="1" si="53"/>
        <v/>
      </c>
      <c r="P701" s="17" t="str">
        <f t="shared" si="54"/>
        <v/>
      </c>
      <c r="Q701" s="11"/>
      <c r="R701" s="19"/>
      <c r="S701" s="19"/>
      <c r="U701">
        <f ca="1">IF(AND(ISNUMBER(O701),O701&lt;=設定!$C$4),1,0)</f>
        <v>0</v>
      </c>
      <c r="V701" t="str">
        <f ca="1">IF(U701=1,SUM($U$10:U701),"")</f>
        <v/>
      </c>
    </row>
    <row r="702" spans="2:22">
      <c r="B702" s="8" t="str">
        <f>IF(C702="","",COUNT($C$10:C702))</f>
        <v/>
      </c>
      <c r="C702" s="20"/>
      <c r="D702" s="11"/>
      <c r="E702" s="9"/>
      <c r="F702" s="21" t="str">
        <f>IF(E702="","",IFERROR(INDEX(食材マスタ!$D$10:$D$309,MATCH(E702,食材マスタ!$C$10:$C$309,0)),"※コード未登録"))</f>
        <v/>
      </c>
      <c r="G702" s="16"/>
      <c r="H702" s="8" t="str">
        <f>IF(E702="","",IFERROR(INDEX(食材マスタ!$H$10:$H$309,MATCH(E702,食材マスタ!$C$10:$C$309,0)),""))</f>
        <v/>
      </c>
      <c r="I702" s="15" t="str">
        <f>IF(E702="","",IFERROR(INDEX(食材マスタ!$K$10:$K$309,MATCH(E702,食材マスタ!$C$10:$C$309,0)),""))</f>
        <v/>
      </c>
      <c r="J702" s="15" t="str">
        <f t="shared" si="50"/>
        <v/>
      </c>
      <c r="K702" s="20"/>
      <c r="L702" s="8" t="str">
        <f t="shared" si="51"/>
        <v/>
      </c>
      <c r="M702" s="9"/>
      <c r="N702" s="13" t="str">
        <f t="shared" si="52"/>
        <v/>
      </c>
      <c r="O702" s="22" t="str">
        <f t="shared" ca="1" si="53"/>
        <v/>
      </c>
      <c r="P702" s="17" t="str">
        <f t="shared" si="54"/>
        <v/>
      </c>
      <c r="Q702" s="11"/>
      <c r="R702" s="19"/>
      <c r="S702" s="19"/>
      <c r="U702">
        <f ca="1">IF(AND(ISNUMBER(O702),O702&lt;=設定!$C$4),1,0)</f>
        <v>0</v>
      </c>
      <c r="V702" t="str">
        <f ca="1">IF(U702=1,SUM($U$10:U702),"")</f>
        <v/>
      </c>
    </row>
    <row r="703" spans="2:22">
      <c r="B703" s="8" t="str">
        <f>IF(C703="","",COUNT($C$10:C703))</f>
        <v/>
      </c>
      <c r="C703" s="20"/>
      <c r="D703" s="11"/>
      <c r="E703" s="9"/>
      <c r="F703" s="21" t="str">
        <f>IF(E703="","",IFERROR(INDEX(食材マスタ!$D$10:$D$309,MATCH(E703,食材マスタ!$C$10:$C$309,0)),"※コード未登録"))</f>
        <v/>
      </c>
      <c r="G703" s="16"/>
      <c r="H703" s="8" t="str">
        <f>IF(E703="","",IFERROR(INDEX(食材マスタ!$H$10:$H$309,MATCH(E703,食材マスタ!$C$10:$C$309,0)),""))</f>
        <v/>
      </c>
      <c r="I703" s="15" t="str">
        <f>IF(E703="","",IFERROR(INDEX(食材マスタ!$K$10:$K$309,MATCH(E703,食材マスタ!$C$10:$C$309,0)),""))</f>
        <v/>
      </c>
      <c r="J703" s="15" t="str">
        <f t="shared" si="50"/>
        <v/>
      </c>
      <c r="K703" s="20"/>
      <c r="L703" s="8" t="str">
        <f t="shared" si="51"/>
        <v/>
      </c>
      <c r="M703" s="9"/>
      <c r="N703" s="13" t="str">
        <f t="shared" si="52"/>
        <v/>
      </c>
      <c r="O703" s="22" t="str">
        <f t="shared" ca="1" si="53"/>
        <v/>
      </c>
      <c r="P703" s="17" t="str">
        <f t="shared" si="54"/>
        <v/>
      </c>
      <c r="Q703" s="11"/>
      <c r="R703" s="19"/>
      <c r="S703" s="19"/>
      <c r="U703">
        <f ca="1">IF(AND(ISNUMBER(O703),O703&lt;=設定!$C$4),1,0)</f>
        <v>0</v>
      </c>
      <c r="V703" t="str">
        <f ca="1">IF(U703=1,SUM($U$10:U703),"")</f>
        <v/>
      </c>
    </row>
    <row r="704" spans="2:22">
      <c r="B704" s="8" t="str">
        <f>IF(C704="","",COUNT($C$10:C704))</f>
        <v/>
      </c>
      <c r="C704" s="20"/>
      <c r="D704" s="11"/>
      <c r="E704" s="9"/>
      <c r="F704" s="21" t="str">
        <f>IF(E704="","",IFERROR(INDEX(食材マスタ!$D$10:$D$309,MATCH(E704,食材マスタ!$C$10:$C$309,0)),"※コード未登録"))</f>
        <v/>
      </c>
      <c r="G704" s="16"/>
      <c r="H704" s="8" t="str">
        <f>IF(E704="","",IFERROR(INDEX(食材マスタ!$H$10:$H$309,MATCH(E704,食材マスタ!$C$10:$C$309,0)),""))</f>
        <v/>
      </c>
      <c r="I704" s="15" t="str">
        <f>IF(E704="","",IFERROR(INDEX(食材マスタ!$K$10:$K$309,MATCH(E704,食材マスタ!$C$10:$C$309,0)),""))</f>
        <v/>
      </c>
      <c r="J704" s="15" t="str">
        <f t="shared" si="50"/>
        <v/>
      </c>
      <c r="K704" s="20"/>
      <c r="L704" s="8" t="str">
        <f t="shared" si="51"/>
        <v/>
      </c>
      <c r="M704" s="9"/>
      <c r="N704" s="13" t="str">
        <f t="shared" si="52"/>
        <v/>
      </c>
      <c r="O704" s="22" t="str">
        <f t="shared" ca="1" si="53"/>
        <v/>
      </c>
      <c r="P704" s="17" t="str">
        <f t="shared" si="54"/>
        <v/>
      </c>
      <c r="Q704" s="11"/>
      <c r="R704" s="19"/>
      <c r="S704" s="19"/>
      <c r="U704">
        <f ca="1">IF(AND(ISNUMBER(O704),O704&lt;=設定!$C$4),1,0)</f>
        <v>0</v>
      </c>
      <c r="V704" t="str">
        <f ca="1">IF(U704=1,SUM($U$10:U704),"")</f>
        <v/>
      </c>
    </row>
    <row r="705" spans="2:22">
      <c r="B705" s="8" t="str">
        <f>IF(C705="","",COUNT($C$10:C705))</f>
        <v/>
      </c>
      <c r="C705" s="20"/>
      <c r="D705" s="11"/>
      <c r="E705" s="9"/>
      <c r="F705" s="21" t="str">
        <f>IF(E705="","",IFERROR(INDEX(食材マスタ!$D$10:$D$309,MATCH(E705,食材マスタ!$C$10:$C$309,0)),"※コード未登録"))</f>
        <v/>
      </c>
      <c r="G705" s="16"/>
      <c r="H705" s="8" t="str">
        <f>IF(E705="","",IFERROR(INDEX(食材マスタ!$H$10:$H$309,MATCH(E705,食材マスタ!$C$10:$C$309,0)),""))</f>
        <v/>
      </c>
      <c r="I705" s="15" t="str">
        <f>IF(E705="","",IFERROR(INDEX(食材マスタ!$K$10:$K$309,MATCH(E705,食材マスタ!$C$10:$C$309,0)),""))</f>
        <v/>
      </c>
      <c r="J705" s="15" t="str">
        <f t="shared" si="50"/>
        <v/>
      </c>
      <c r="K705" s="20"/>
      <c r="L705" s="8" t="str">
        <f t="shared" si="51"/>
        <v/>
      </c>
      <c r="M705" s="9"/>
      <c r="N705" s="13" t="str">
        <f t="shared" si="52"/>
        <v/>
      </c>
      <c r="O705" s="22" t="str">
        <f t="shared" ca="1" si="53"/>
        <v/>
      </c>
      <c r="P705" s="17" t="str">
        <f t="shared" si="54"/>
        <v/>
      </c>
      <c r="Q705" s="11"/>
      <c r="R705" s="19"/>
      <c r="S705" s="19"/>
      <c r="U705">
        <f ca="1">IF(AND(ISNUMBER(O705),O705&lt;=設定!$C$4),1,0)</f>
        <v>0</v>
      </c>
      <c r="V705" t="str">
        <f ca="1">IF(U705=1,SUM($U$10:U705),"")</f>
        <v/>
      </c>
    </row>
    <row r="706" spans="2:22">
      <c r="B706" s="8" t="str">
        <f>IF(C706="","",COUNT($C$10:C706))</f>
        <v/>
      </c>
      <c r="C706" s="20"/>
      <c r="D706" s="11"/>
      <c r="E706" s="9"/>
      <c r="F706" s="21" t="str">
        <f>IF(E706="","",IFERROR(INDEX(食材マスタ!$D$10:$D$309,MATCH(E706,食材マスタ!$C$10:$C$309,0)),"※コード未登録"))</f>
        <v/>
      </c>
      <c r="G706" s="16"/>
      <c r="H706" s="8" t="str">
        <f>IF(E706="","",IFERROR(INDEX(食材マスタ!$H$10:$H$309,MATCH(E706,食材マスタ!$C$10:$C$309,0)),""))</f>
        <v/>
      </c>
      <c r="I706" s="15" t="str">
        <f>IF(E706="","",IFERROR(INDEX(食材マスタ!$K$10:$K$309,MATCH(E706,食材マスタ!$C$10:$C$309,0)),""))</f>
        <v/>
      </c>
      <c r="J706" s="15" t="str">
        <f t="shared" si="50"/>
        <v/>
      </c>
      <c r="K706" s="20"/>
      <c r="L706" s="8" t="str">
        <f t="shared" si="51"/>
        <v/>
      </c>
      <c r="M706" s="9"/>
      <c r="N706" s="13" t="str">
        <f t="shared" si="52"/>
        <v/>
      </c>
      <c r="O706" s="22" t="str">
        <f t="shared" ca="1" si="53"/>
        <v/>
      </c>
      <c r="P706" s="17" t="str">
        <f t="shared" si="54"/>
        <v/>
      </c>
      <c r="Q706" s="11"/>
      <c r="R706" s="19"/>
      <c r="S706" s="19"/>
      <c r="U706">
        <f ca="1">IF(AND(ISNUMBER(O706),O706&lt;=設定!$C$4),1,0)</f>
        <v>0</v>
      </c>
      <c r="V706" t="str">
        <f ca="1">IF(U706=1,SUM($U$10:U706),"")</f>
        <v/>
      </c>
    </row>
    <row r="707" spans="2:22">
      <c r="B707" s="8" t="str">
        <f>IF(C707="","",COUNT($C$10:C707))</f>
        <v/>
      </c>
      <c r="C707" s="20"/>
      <c r="D707" s="11"/>
      <c r="E707" s="9"/>
      <c r="F707" s="21" t="str">
        <f>IF(E707="","",IFERROR(INDEX(食材マスタ!$D$10:$D$309,MATCH(E707,食材マスタ!$C$10:$C$309,0)),"※コード未登録"))</f>
        <v/>
      </c>
      <c r="G707" s="16"/>
      <c r="H707" s="8" t="str">
        <f>IF(E707="","",IFERROR(INDEX(食材マスタ!$H$10:$H$309,MATCH(E707,食材マスタ!$C$10:$C$309,0)),""))</f>
        <v/>
      </c>
      <c r="I707" s="15" t="str">
        <f>IF(E707="","",IFERROR(INDEX(食材マスタ!$K$10:$K$309,MATCH(E707,食材マスタ!$C$10:$C$309,0)),""))</f>
        <v/>
      </c>
      <c r="J707" s="15" t="str">
        <f t="shared" si="50"/>
        <v/>
      </c>
      <c r="K707" s="20"/>
      <c r="L707" s="8" t="str">
        <f t="shared" si="51"/>
        <v/>
      </c>
      <c r="M707" s="9"/>
      <c r="N707" s="13" t="str">
        <f t="shared" si="52"/>
        <v/>
      </c>
      <c r="O707" s="22" t="str">
        <f t="shared" ca="1" si="53"/>
        <v/>
      </c>
      <c r="P707" s="17" t="str">
        <f t="shared" si="54"/>
        <v/>
      </c>
      <c r="Q707" s="11"/>
      <c r="R707" s="19"/>
      <c r="S707" s="19"/>
      <c r="U707">
        <f ca="1">IF(AND(ISNUMBER(O707),O707&lt;=設定!$C$4),1,0)</f>
        <v>0</v>
      </c>
      <c r="V707" t="str">
        <f ca="1">IF(U707=1,SUM($U$10:U707),"")</f>
        <v/>
      </c>
    </row>
    <row r="708" spans="2:22">
      <c r="B708" s="8" t="str">
        <f>IF(C708="","",COUNT($C$10:C708))</f>
        <v/>
      </c>
      <c r="C708" s="20"/>
      <c r="D708" s="11"/>
      <c r="E708" s="9"/>
      <c r="F708" s="21" t="str">
        <f>IF(E708="","",IFERROR(INDEX(食材マスタ!$D$10:$D$309,MATCH(E708,食材マスタ!$C$10:$C$309,0)),"※コード未登録"))</f>
        <v/>
      </c>
      <c r="G708" s="16"/>
      <c r="H708" s="8" t="str">
        <f>IF(E708="","",IFERROR(INDEX(食材マスタ!$H$10:$H$309,MATCH(E708,食材マスタ!$C$10:$C$309,0)),""))</f>
        <v/>
      </c>
      <c r="I708" s="15" t="str">
        <f>IF(E708="","",IFERROR(INDEX(食材マスタ!$K$10:$K$309,MATCH(E708,食材マスタ!$C$10:$C$309,0)),""))</f>
        <v/>
      </c>
      <c r="J708" s="15" t="str">
        <f t="shared" si="50"/>
        <v/>
      </c>
      <c r="K708" s="20"/>
      <c r="L708" s="8" t="str">
        <f t="shared" si="51"/>
        <v/>
      </c>
      <c r="M708" s="9"/>
      <c r="N708" s="13" t="str">
        <f t="shared" si="52"/>
        <v/>
      </c>
      <c r="O708" s="22" t="str">
        <f t="shared" ca="1" si="53"/>
        <v/>
      </c>
      <c r="P708" s="17" t="str">
        <f t="shared" si="54"/>
        <v/>
      </c>
      <c r="Q708" s="11"/>
      <c r="R708" s="19"/>
      <c r="S708" s="19"/>
      <c r="U708">
        <f ca="1">IF(AND(ISNUMBER(O708),O708&lt;=設定!$C$4),1,0)</f>
        <v>0</v>
      </c>
      <c r="V708" t="str">
        <f ca="1">IF(U708=1,SUM($U$10:U708),"")</f>
        <v/>
      </c>
    </row>
    <row r="709" spans="2:22">
      <c r="B709" s="8" t="str">
        <f>IF(C709="","",COUNT($C$10:C709))</f>
        <v/>
      </c>
      <c r="C709" s="20"/>
      <c r="D709" s="11"/>
      <c r="E709" s="9"/>
      <c r="F709" s="21" t="str">
        <f>IF(E709="","",IFERROR(INDEX(食材マスタ!$D$10:$D$309,MATCH(E709,食材マスタ!$C$10:$C$309,0)),"※コード未登録"))</f>
        <v/>
      </c>
      <c r="G709" s="16"/>
      <c r="H709" s="8" t="str">
        <f>IF(E709="","",IFERROR(INDEX(食材マスタ!$H$10:$H$309,MATCH(E709,食材マスタ!$C$10:$C$309,0)),""))</f>
        <v/>
      </c>
      <c r="I709" s="15" t="str">
        <f>IF(E709="","",IFERROR(INDEX(食材マスタ!$K$10:$K$309,MATCH(E709,食材マスタ!$C$10:$C$309,0)),""))</f>
        <v/>
      </c>
      <c r="J709" s="15" t="str">
        <f t="shared" si="50"/>
        <v/>
      </c>
      <c r="K709" s="20"/>
      <c r="L709" s="8" t="str">
        <f t="shared" si="51"/>
        <v/>
      </c>
      <c r="M709" s="9"/>
      <c r="N709" s="13" t="str">
        <f t="shared" si="52"/>
        <v/>
      </c>
      <c r="O709" s="22" t="str">
        <f t="shared" ca="1" si="53"/>
        <v/>
      </c>
      <c r="P709" s="17" t="str">
        <f t="shared" si="54"/>
        <v/>
      </c>
      <c r="Q709" s="11"/>
      <c r="R709" s="19"/>
      <c r="S709" s="19"/>
      <c r="U709">
        <f ca="1">IF(AND(ISNUMBER(O709),O709&lt;=設定!$C$4),1,0)</f>
        <v>0</v>
      </c>
      <c r="V709" t="str">
        <f ca="1">IF(U709=1,SUM($U$10:U709),"")</f>
        <v/>
      </c>
    </row>
    <row r="710" spans="2:22">
      <c r="B710" s="8" t="str">
        <f>IF(C710="","",COUNT($C$10:C710))</f>
        <v/>
      </c>
      <c r="C710" s="20"/>
      <c r="D710" s="11"/>
      <c r="E710" s="9"/>
      <c r="F710" s="21" t="str">
        <f>IF(E710="","",IFERROR(INDEX(食材マスタ!$D$10:$D$309,MATCH(E710,食材マスタ!$C$10:$C$309,0)),"※コード未登録"))</f>
        <v/>
      </c>
      <c r="G710" s="16"/>
      <c r="H710" s="8" t="str">
        <f>IF(E710="","",IFERROR(INDEX(食材マスタ!$H$10:$H$309,MATCH(E710,食材マスタ!$C$10:$C$309,0)),""))</f>
        <v/>
      </c>
      <c r="I710" s="15" t="str">
        <f>IF(E710="","",IFERROR(INDEX(食材マスタ!$K$10:$K$309,MATCH(E710,食材マスタ!$C$10:$C$309,0)),""))</f>
        <v/>
      </c>
      <c r="J710" s="15" t="str">
        <f t="shared" si="50"/>
        <v/>
      </c>
      <c r="K710" s="20"/>
      <c r="L710" s="8" t="str">
        <f t="shared" si="51"/>
        <v/>
      </c>
      <c r="M710" s="9"/>
      <c r="N710" s="13" t="str">
        <f t="shared" si="52"/>
        <v/>
      </c>
      <c r="O710" s="22" t="str">
        <f t="shared" ca="1" si="53"/>
        <v/>
      </c>
      <c r="P710" s="17" t="str">
        <f t="shared" si="54"/>
        <v/>
      </c>
      <c r="Q710" s="11"/>
      <c r="R710" s="19"/>
      <c r="S710" s="19"/>
      <c r="U710">
        <f ca="1">IF(AND(ISNUMBER(O710),O710&lt;=設定!$C$4),1,0)</f>
        <v>0</v>
      </c>
      <c r="V710" t="str">
        <f ca="1">IF(U710=1,SUM($U$10:U710),"")</f>
        <v/>
      </c>
    </row>
    <row r="711" spans="2:22">
      <c r="B711" s="8" t="str">
        <f>IF(C711="","",COUNT($C$10:C711))</f>
        <v/>
      </c>
      <c r="C711" s="20"/>
      <c r="D711" s="11"/>
      <c r="E711" s="9"/>
      <c r="F711" s="21" t="str">
        <f>IF(E711="","",IFERROR(INDEX(食材マスタ!$D$10:$D$309,MATCH(E711,食材マスタ!$C$10:$C$309,0)),"※コード未登録"))</f>
        <v/>
      </c>
      <c r="G711" s="16"/>
      <c r="H711" s="8" t="str">
        <f>IF(E711="","",IFERROR(INDEX(食材マスタ!$H$10:$H$309,MATCH(E711,食材マスタ!$C$10:$C$309,0)),""))</f>
        <v/>
      </c>
      <c r="I711" s="15" t="str">
        <f>IF(E711="","",IFERROR(INDEX(食材マスタ!$K$10:$K$309,MATCH(E711,食材マスタ!$C$10:$C$309,0)),""))</f>
        <v/>
      </c>
      <c r="J711" s="15" t="str">
        <f t="shared" si="50"/>
        <v/>
      </c>
      <c r="K711" s="20"/>
      <c r="L711" s="8" t="str">
        <f t="shared" si="51"/>
        <v/>
      </c>
      <c r="M711" s="9"/>
      <c r="N711" s="13" t="str">
        <f t="shared" si="52"/>
        <v/>
      </c>
      <c r="O711" s="22" t="str">
        <f t="shared" ca="1" si="53"/>
        <v/>
      </c>
      <c r="P711" s="17" t="str">
        <f t="shared" si="54"/>
        <v/>
      </c>
      <c r="Q711" s="11"/>
      <c r="R711" s="19"/>
      <c r="S711" s="19"/>
      <c r="U711">
        <f ca="1">IF(AND(ISNUMBER(O711),O711&lt;=設定!$C$4),1,0)</f>
        <v>0</v>
      </c>
      <c r="V711" t="str">
        <f ca="1">IF(U711=1,SUM($U$10:U711),"")</f>
        <v/>
      </c>
    </row>
    <row r="712" spans="2:22">
      <c r="B712" s="8" t="str">
        <f>IF(C712="","",COUNT($C$10:C712))</f>
        <v/>
      </c>
      <c r="C712" s="20"/>
      <c r="D712" s="11"/>
      <c r="E712" s="9"/>
      <c r="F712" s="21" t="str">
        <f>IF(E712="","",IFERROR(INDEX(食材マスタ!$D$10:$D$309,MATCH(E712,食材マスタ!$C$10:$C$309,0)),"※コード未登録"))</f>
        <v/>
      </c>
      <c r="G712" s="16"/>
      <c r="H712" s="8" t="str">
        <f>IF(E712="","",IFERROR(INDEX(食材マスタ!$H$10:$H$309,MATCH(E712,食材マスタ!$C$10:$C$309,0)),""))</f>
        <v/>
      </c>
      <c r="I712" s="15" t="str">
        <f>IF(E712="","",IFERROR(INDEX(食材マスタ!$K$10:$K$309,MATCH(E712,食材マスタ!$C$10:$C$309,0)),""))</f>
        <v/>
      </c>
      <c r="J712" s="15" t="str">
        <f t="shared" si="50"/>
        <v/>
      </c>
      <c r="K712" s="20"/>
      <c r="L712" s="8" t="str">
        <f t="shared" si="51"/>
        <v/>
      </c>
      <c r="M712" s="9"/>
      <c r="N712" s="13" t="str">
        <f t="shared" si="52"/>
        <v/>
      </c>
      <c r="O712" s="22" t="str">
        <f t="shared" ca="1" si="53"/>
        <v/>
      </c>
      <c r="P712" s="17" t="str">
        <f t="shared" si="54"/>
        <v/>
      </c>
      <c r="Q712" s="11"/>
      <c r="R712" s="19"/>
      <c r="S712" s="19"/>
      <c r="U712">
        <f ca="1">IF(AND(ISNUMBER(O712),O712&lt;=設定!$C$4),1,0)</f>
        <v>0</v>
      </c>
      <c r="V712" t="str">
        <f ca="1">IF(U712=1,SUM($U$10:U712),"")</f>
        <v/>
      </c>
    </row>
    <row r="713" spans="2:22">
      <c r="B713" s="8" t="str">
        <f>IF(C713="","",COUNT($C$10:C713))</f>
        <v/>
      </c>
      <c r="C713" s="20"/>
      <c r="D713" s="11"/>
      <c r="E713" s="9"/>
      <c r="F713" s="21" t="str">
        <f>IF(E713="","",IFERROR(INDEX(食材マスタ!$D$10:$D$309,MATCH(E713,食材マスタ!$C$10:$C$309,0)),"※コード未登録"))</f>
        <v/>
      </c>
      <c r="G713" s="16"/>
      <c r="H713" s="8" t="str">
        <f>IF(E713="","",IFERROR(INDEX(食材マスタ!$H$10:$H$309,MATCH(E713,食材マスタ!$C$10:$C$309,0)),""))</f>
        <v/>
      </c>
      <c r="I713" s="15" t="str">
        <f>IF(E713="","",IFERROR(INDEX(食材マスタ!$K$10:$K$309,MATCH(E713,食材マスタ!$C$10:$C$309,0)),""))</f>
        <v/>
      </c>
      <c r="J713" s="15" t="str">
        <f t="shared" si="50"/>
        <v/>
      </c>
      <c r="K713" s="20"/>
      <c r="L713" s="8" t="str">
        <f t="shared" si="51"/>
        <v/>
      </c>
      <c r="M713" s="9"/>
      <c r="N713" s="13" t="str">
        <f t="shared" si="52"/>
        <v/>
      </c>
      <c r="O713" s="22" t="str">
        <f t="shared" ca="1" si="53"/>
        <v/>
      </c>
      <c r="P713" s="17" t="str">
        <f t="shared" si="54"/>
        <v/>
      </c>
      <c r="Q713" s="11"/>
      <c r="R713" s="19"/>
      <c r="S713" s="19"/>
      <c r="U713">
        <f ca="1">IF(AND(ISNUMBER(O713),O713&lt;=設定!$C$4),1,0)</f>
        <v>0</v>
      </c>
      <c r="V713" t="str">
        <f ca="1">IF(U713=1,SUM($U$10:U713),"")</f>
        <v/>
      </c>
    </row>
    <row r="714" spans="2:22">
      <c r="B714" s="8" t="str">
        <f>IF(C714="","",COUNT($C$10:C714))</f>
        <v/>
      </c>
      <c r="C714" s="20"/>
      <c r="D714" s="11"/>
      <c r="E714" s="9"/>
      <c r="F714" s="21" t="str">
        <f>IF(E714="","",IFERROR(INDEX(食材マスタ!$D$10:$D$309,MATCH(E714,食材マスタ!$C$10:$C$309,0)),"※コード未登録"))</f>
        <v/>
      </c>
      <c r="G714" s="16"/>
      <c r="H714" s="8" t="str">
        <f>IF(E714="","",IFERROR(INDEX(食材マスタ!$H$10:$H$309,MATCH(E714,食材マスタ!$C$10:$C$309,0)),""))</f>
        <v/>
      </c>
      <c r="I714" s="15" t="str">
        <f>IF(E714="","",IFERROR(INDEX(食材マスタ!$K$10:$K$309,MATCH(E714,食材マスタ!$C$10:$C$309,0)),""))</f>
        <v/>
      </c>
      <c r="J714" s="15" t="str">
        <f t="shared" ref="J714:J777" si="55">IF(OR(G714="",I714=""),"",ROUND(ABS(G714)*I714,0))</f>
        <v/>
      </c>
      <c r="K714" s="20"/>
      <c r="L714" s="8" t="str">
        <f t="shared" ref="L714:L777" si="56">IF(AND(D714="入庫",E714&lt;&gt;""),E714&amp;"-"&amp;TEXT(ROW()-9,"0000"),"")</f>
        <v/>
      </c>
      <c r="M714" s="9"/>
      <c r="N714" s="13" t="str">
        <f t="shared" ref="N714:N777" si="57">IF(L714="","",G714-SUMIFS($G$10:$G$1009,$M$10:$M$1009,L714,$D$10:$D$1009,"出庫")-SUMIFS($G$10:$G$1009,$M$10:$M$1009,L714,$D$10:$D$1009,"廃棄")+SUMIFS($G$10:$G$1009,$M$10:$M$1009,L714,$D$10:$D$1009,"棚卸調整"))</f>
        <v/>
      </c>
      <c r="O714" s="22" t="str">
        <f t="shared" ref="O714:O777" ca="1" si="58">IF(OR(L714="",K714=""),"",IF(N714&lt;=0,"",K714-TODAY()))</f>
        <v/>
      </c>
      <c r="P714" s="17" t="str">
        <f t="shared" ref="P714:P777" si="59">IF(E714="","",IF(F714="※コード未登録","コード未登録",IF(AND(OR(D714="出庫",D714="廃棄"),M714=""),"ロット未指定",IF(AND(M714&lt;&gt;"",LEFT(M714,LEN(E714)+1)&lt;&gt;E714&amp;"-"),"ロット違い",IF(AND(L714&lt;&gt;"",N714&lt;0),"ロット残マイナス","")))))</f>
        <v/>
      </c>
      <c r="Q714" s="11"/>
      <c r="R714" s="19"/>
      <c r="S714" s="19"/>
      <c r="U714">
        <f ca="1">IF(AND(ISNUMBER(O714),O714&lt;=設定!$C$4),1,0)</f>
        <v>0</v>
      </c>
      <c r="V714" t="str">
        <f ca="1">IF(U714=1,SUM($U$10:U714),"")</f>
        <v/>
      </c>
    </row>
    <row r="715" spans="2:22">
      <c r="B715" s="8" t="str">
        <f>IF(C715="","",COUNT($C$10:C715))</f>
        <v/>
      </c>
      <c r="C715" s="20"/>
      <c r="D715" s="11"/>
      <c r="E715" s="9"/>
      <c r="F715" s="21" t="str">
        <f>IF(E715="","",IFERROR(INDEX(食材マスタ!$D$10:$D$309,MATCH(E715,食材マスタ!$C$10:$C$309,0)),"※コード未登録"))</f>
        <v/>
      </c>
      <c r="G715" s="16"/>
      <c r="H715" s="8" t="str">
        <f>IF(E715="","",IFERROR(INDEX(食材マスタ!$H$10:$H$309,MATCH(E715,食材マスタ!$C$10:$C$309,0)),""))</f>
        <v/>
      </c>
      <c r="I715" s="15" t="str">
        <f>IF(E715="","",IFERROR(INDEX(食材マスタ!$K$10:$K$309,MATCH(E715,食材マスタ!$C$10:$C$309,0)),""))</f>
        <v/>
      </c>
      <c r="J715" s="15" t="str">
        <f t="shared" si="55"/>
        <v/>
      </c>
      <c r="K715" s="20"/>
      <c r="L715" s="8" t="str">
        <f t="shared" si="56"/>
        <v/>
      </c>
      <c r="M715" s="9"/>
      <c r="N715" s="13" t="str">
        <f t="shared" si="57"/>
        <v/>
      </c>
      <c r="O715" s="22" t="str">
        <f t="shared" ca="1" si="58"/>
        <v/>
      </c>
      <c r="P715" s="17" t="str">
        <f t="shared" si="59"/>
        <v/>
      </c>
      <c r="Q715" s="11"/>
      <c r="R715" s="19"/>
      <c r="S715" s="19"/>
      <c r="U715">
        <f ca="1">IF(AND(ISNUMBER(O715),O715&lt;=設定!$C$4),1,0)</f>
        <v>0</v>
      </c>
      <c r="V715" t="str">
        <f ca="1">IF(U715=1,SUM($U$10:U715),"")</f>
        <v/>
      </c>
    </row>
    <row r="716" spans="2:22">
      <c r="B716" s="8" t="str">
        <f>IF(C716="","",COUNT($C$10:C716))</f>
        <v/>
      </c>
      <c r="C716" s="20"/>
      <c r="D716" s="11"/>
      <c r="E716" s="9"/>
      <c r="F716" s="21" t="str">
        <f>IF(E716="","",IFERROR(INDEX(食材マスタ!$D$10:$D$309,MATCH(E716,食材マスタ!$C$10:$C$309,0)),"※コード未登録"))</f>
        <v/>
      </c>
      <c r="G716" s="16"/>
      <c r="H716" s="8" t="str">
        <f>IF(E716="","",IFERROR(INDEX(食材マスタ!$H$10:$H$309,MATCH(E716,食材マスタ!$C$10:$C$309,0)),""))</f>
        <v/>
      </c>
      <c r="I716" s="15" t="str">
        <f>IF(E716="","",IFERROR(INDEX(食材マスタ!$K$10:$K$309,MATCH(E716,食材マスタ!$C$10:$C$309,0)),""))</f>
        <v/>
      </c>
      <c r="J716" s="15" t="str">
        <f t="shared" si="55"/>
        <v/>
      </c>
      <c r="K716" s="20"/>
      <c r="L716" s="8" t="str">
        <f t="shared" si="56"/>
        <v/>
      </c>
      <c r="M716" s="9"/>
      <c r="N716" s="13" t="str">
        <f t="shared" si="57"/>
        <v/>
      </c>
      <c r="O716" s="22" t="str">
        <f t="shared" ca="1" si="58"/>
        <v/>
      </c>
      <c r="P716" s="17" t="str">
        <f t="shared" si="59"/>
        <v/>
      </c>
      <c r="Q716" s="11"/>
      <c r="R716" s="19"/>
      <c r="S716" s="19"/>
      <c r="U716">
        <f ca="1">IF(AND(ISNUMBER(O716),O716&lt;=設定!$C$4),1,0)</f>
        <v>0</v>
      </c>
      <c r="V716" t="str">
        <f ca="1">IF(U716=1,SUM($U$10:U716),"")</f>
        <v/>
      </c>
    </row>
    <row r="717" spans="2:22">
      <c r="B717" s="8" t="str">
        <f>IF(C717="","",COUNT($C$10:C717))</f>
        <v/>
      </c>
      <c r="C717" s="20"/>
      <c r="D717" s="11"/>
      <c r="E717" s="9"/>
      <c r="F717" s="21" t="str">
        <f>IF(E717="","",IFERROR(INDEX(食材マスタ!$D$10:$D$309,MATCH(E717,食材マスタ!$C$10:$C$309,0)),"※コード未登録"))</f>
        <v/>
      </c>
      <c r="G717" s="16"/>
      <c r="H717" s="8" t="str">
        <f>IF(E717="","",IFERROR(INDEX(食材マスタ!$H$10:$H$309,MATCH(E717,食材マスタ!$C$10:$C$309,0)),""))</f>
        <v/>
      </c>
      <c r="I717" s="15" t="str">
        <f>IF(E717="","",IFERROR(INDEX(食材マスタ!$K$10:$K$309,MATCH(E717,食材マスタ!$C$10:$C$309,0)),""))</f>
        <v/>
      </c>
      <c r="J717" s="15" t="str">
        <f t="shared" si="55"/>
        <v/>
      </c>
      <c r="K717" s="20"/>
      <c r="L717" s="8" t="str">
        <f t="shared" si="56"/>
        <v/>
      </c>
      <c r="M717" s="9"/>
      <c r="N717" s="13" t="str">
        <f t="shared" si="57"/>
        <v/>
      </c>
      <c r="O717" s="22" t="str">
        <f t="shared" ca="1" si="58"/>
        <v/>
      </c>
      <c r="P717" s="17" t="str">
        <f t="shared" si="59"/>
        <v/>
      </c>
      <c r="Q717" s="11"/>
      <c r="R717" s="19"/>
      <c r="S717" s="19"/>
      <c r="U717">
        <f ca="1">IF(AND(ISNUMBER(O717),O717&lt;=設定!$C$4),1,0)</f>
        <v>0</v>
      </c>
      <c r="V717" t="str">
        <f ca="1">IF(U717=1,SUM($U$10:U717),"")</f>
        <v/>
      </c>
    </row>
    <row r="718" spans="2:22">
      <c r="B718" s="8" t="str">
        <f>IF(C718="","",COUNT($C$10:C718))</f>
        <v/>
      </c>
      <c r="C718" s="20"/>
      <c r="D718" s="11"/>
      <c r="E718" s="9"/>
      <c r="F718" s="21" t="str">
        <f>IF(E718="","",IFERROR(INDEX(食材マスタ!$D$10:$D$309,MATCH(E718,食材マスタ!$C$10:$C$309,0)),"※コード未登録"))</f>
        <v/>
      </c>
      <c r="G718" s="16"/>
      <c r="H718" s="8" t="str">
        <f>IF(E718="","",IFERROR(INDEX(食材マスタ!$H$10:$H$309,MATCH(E718,食材マスタ!$C$10:$C$309,0)),""))</f>
        <v/>
      </c>
      <c r="I718" s="15" t="str">
        <f>IF(E718="","",IFERROR(INDEX(食材マスタ!$K$10:$K$309,MATCH(E718,食材マスタ!$C$10:$C$309,0)),""))</f>
        <v/>
      </c>
      <c r="J718" s="15" t="str">
        <f t="shared" si="55"/>
        <v/>
      </c>
      <c r="K718" s="20"/>
      <c r="L718" s="8" t="str">
        <f t="shared" si="56"/>
        <v/>
      </c>
      <c r="M718" s="9"/>
      <c r="N718" s="13" t="str">
        <f t="shared" si="57"/>
        <v/>
      </c>
      <c r="O718" s="22" t="str">
        <f t="shared" ca="1" si="58"/>
        <v/>
      </c>
      <c r="P718" s="17" t="str">
        <f t="shared" si="59"/>
        <v/>
      </c>
      <c r="Q718" s="11"/>
      <c r="R718" s="19"/>
      <c r="S718" s="19"/>
      <c r="U718">
        <f ca="1">IF(AND(ISNUMBER(O718),O718&lt;=設定!$C$4),1,0)</f>
        <v>0</v>
      </c>
      <c r="V718" t="str">
        <f ca="1">IF(U718=1,SUM($U$10:U718),"")</f>
        <v/>
      </c>
    </row>
    <row r="719" spans="2:22">
      <c r="B719" s="8" t="str">
        <f>IF(C719="","",COUNT($C$10:C719))</f>
        <v/>
      </c>
      <c r="C719" s="20"/>
      <c r="D719" s="11"/>
      <c r="E719" s="9"/>
      <c r="F719" s="21" t="str">
        <f>IF(E719="","",IFERROR(INDEX(食材マスタ!$D$10:$D$309,MATCH(E719,食材マスタ!$C$10:$C$309,0)),"※コード未登録"))</f>
        <v/>
      </c>
      <c r="G719" s="16"/>
      <c r="H719" s="8" t="str">
        <f>IF(E719="","",IFERROR(INDEX(食材マスタ!$H$10:$H$309,MATCH(E719,食材マスタ!$C$10:$C$309,0)),""))</f>
        <v/>
      </c>
      <c r="I719" s="15" t="str">
        <f>IF(E719="","",IFERROR(INDEX(食材マスタ!$K$10:$K$309,MATCH(E719,食材マスタ!$C$10:$C$309,0)),""))</f>
        <v/>
      </c>
      <c r="J719" s="15" t="str">
        <f t="shared" si="55"/>
        <v/>
      </c>
      <c r="K719" s="20"/>
      <c r="L719" s="8" t="str">
        <f t="shared" si="56"/>
        <v/>
      </c>
      <c r="M719" s="9"/>
      <c r="N719" s="13" t="str">
        <f t="shared" si="57"/>
        <v/>
      </c>
      <c r="O719" s="22" t="str">
        <f t="shared" ca="1" si="58"/>
        <v/>
      </c>
      <c r="P719" s="17" t="str">
        <f t="shared" si="59"/>
        <v/>
      </c>
      <c r="Q719" s="11"/>
      <c r="R719" s="19"/>
      <c r="S719" s="19"/>
      <c r="U719">
        <f ca="1">IF(AND(ISNUMBER(O719),O719&lt;=設定!$C$4),1,0)</f>
        <v>0</v>
      </c>
      <c r="V719" t="str">
        <f ca="1">IF(U719=1,SUM($U$10:U719),"")</f>
        <v/>
      </c>
    </row>
    <row r="720" spans="2:22">
      <c r="B720" s="8" t="str">
        <f>IF(C720="","",COUNT($C$10:C720))</f>
        <v/>
      </c>
      <c r="C720" s="20"/>
      <c r="D720" s="11"/>
      <c r="E720" s="9"/>
      <c r="F720" s="21" t="str">
        <f>IF(E720="","",IFERROR(INDEX(食材マスタ!$D$10:$D$309,MATCH(E720,食材マスタ!$C$10:$C$309,0)),"※コード未登録"))</f>
        <v/>
      </c>
      <c r="G720" s="16"/>
      <c r="H720" s="8" t="str">
        <f>IF(E720="","",IFERROR(INDEX(食材マスタ!$H$10:$H$309,MATCH(E720,食材マスタ!$C$10:$C$309,0)),""))</f>
        <v/>
      </c>
      <c r="I720" s="15" t="str">
        <f>IF(E720="","",IFERROR(INDEX(食材マスタ!$K$10:$K$309,MATCH(E720,食材マスタ!$C$10:$C$309,0)),""))</f>
        <v/>
      </c>
      <c r="J720" s="15" t="str">
        <f t="shared" si="55"/>
        <v/>
      </c>
      <c r="K720" s="20"/>
      <c r="L720" s="8" t="str">
        <f t="shared" si="56"/>
        <v/>
      </c>
      <c r="M720" s="9"/>
      <c r="N720" s="13" t="str">
        <f t="shared" si="57"/>
        <v/>
      </c>
      <c r="O720" s="22" t="str">
        <f t="shared" ca="1" si="58"/>
        <v/>
      </c>
      <c r="P720" s="17" t="str">
        <f t="shared" si="59"/>
        <v/>
      </c>
      <c r="Q720" s="11"/>
      <c r="R720" s="19"/>
      <c r="S720" s="19"/>
      <c r="U720">
        <f ca="1">IF(AND(ISNUMBER(O720),O720&lt;=設定!$C$4),1,0)</f>
        <v>0</v>
      </c>
      <c r="V720" t="str">
        <f ca="1">IF(U720=1,SUM($U$10:U720),"")</f>
        <v/>
      </c>
    </row>
    <row r="721" spans="2:22">
      <c r="B721" s="8" t="str">
        <f>IF(C721="","",COUNT($C$10:C721))</f>
        <v/>
      </c>
      <c r="C721" s="20"/>
      <c r="D721" s="11"/>
      <c r="E721" s="9"/>
      <c r="F721" s="21" t="str">
        <f>IF(E721="","",IFERROR(INDEX(食材マスタ!$D$10:$D$309,MATCH(E721,食材マスタ!$C$10:$C$309,0)),"※コード未登録"))</f>
        <v/>
      </c>
      <c r="G721" s="16"/>
      <c r="H721" s="8" t="str">
        <f>IF(E721="","",IFERROR(INDEX(食材マスタ!$H$10:$H$309,MATCH(E721,食材マスタ!$C$10:$C$309,0)),""))</f>
        <v/>
      </c>
      <c r="I721" s="15" t="str">
        <f>IF(E721="","",IFERROR(INDEX(食材マスタ!$K$10:$K$309,MATCH(E721,食材マスタ!$C$10:$C$309,0)),""))</f>
        <v/>
      </c>
      <c r="J721" s="15" t="str">
        <f t="shared" si="55"/>
        <v/>
      </c>
      <c r="K721" s="20"/>
      <c r="L721" s="8" t="str">
        <f t="shared" si="56"/>
        <v/>
      </c>
      <c r="M721" s="9"/>
      <c r="N721" s="13" t="str">
        <f t="shared" si="57"/>
        <v/>
      </c>
      <c r="O721" s="22" t="str">
        <f t="shared" ca="1" si="58"/>
        <v/>
      </c>
      <c r="P721" s="17" t="str">
        <f t="shared" si="59"/>
        <v/>
      </c>
      <c r="Q721" s="11"/>
      <c r="R721" s="19"/>
      <c r="S721" s="19"/>
      <c r="U721">
        <f ca="1">IF(AND(ISNUMBER(O721),O721&lt;=設定!$C$4),1,0)</f>
        <v>0</v>
      </c>
      <c r="V721" t="str">
        <f ca="1">IF(U721=1,SUM($U$10:U721),"")</f>
        <v/>
      </c>
    </row>
    <row r="722" spans="2:22">
      <c r="B722" s="8" t="str">
        <f>IF(C722="","",COUNT($C$10:C722))</f>
        <v/>
      </c>
      <c r="C722" s="20"/>
      <c r="D722" s="11"/>
      <c r="E722" s="9"/>
      <c r="F722" s="21" t="str">
        <f>IF(E722="","",IFERROR(INDEX(食材マスタ!$D$10:$D$309,MATCH(E722,食材マスタ!$C$10:$C$309,0)),"※コード未登録"))</f>
        <v/>
      </c>
      <c r="G722" s="16"/>
      <c r="H722" s="8" t="str">
        <f>IF(E722="","",IFERROR(INDEX(食材マスタ!$H$10:$H$309,MATCH(E722,食材マスタ!$C$10:$C$309,0)),""))</f>
        <v/>
      </c>
      <c r="I722" s="15" t="str">
        <f>IF(E722="","",IFERROR(INDEX(食材マスタ!$K$10:$K$309,MATCH(E722,食材マスタ!$C$10:$C$309,0)),""))</f>
        <v/>
      </c>
      <c r="J722" s="15" t="str">
        <f t="shared" si="55"/>
        <v/>
      </c>
      <c r="K722" s="20"/>
      <c r="L722" s="8" t="str">
        <f t="shared" si="56"/>
        <v/>
      </c>
      <c r="M722" s="9"/>
      <c r="N722" s="13" t="str">
        <f t="shared" si="57"/>
        <v/>
      </c>
      <c r="O722" s="22" t="str">
        <f t="shared" ca="1" si="58"/>
        <v/>
      </c>
      <c r="P722" s="17" t="str">
        <f t="shared" si="59"/>
        <v/>
      </c>
      <c r="Q722" s="11"/>
      <c r="R722" s="19"/>
      <c r="S722" s="19"/>
      <c r="U722">
        <f ca="1">IF(AND(ISNUMBER(O722),O722&lt;=設定!$C$4),1,0)</f>
        <v>0</v>
      </c>
      <c r="V722" t="str">
        <f ca="1">IF(U722=1,SUM($U$10:U722),"")</f>
        <v/>
      </c>
    </row>
    <row r="723" spans="2:22">
      <c r="B723" s="8" t="str">
        <f>IF(C723="","",COUNT($C$10:C723))</f>
        <v/>
      </c>
      <c r="C723" s="20"/>
      <c r="D723" s="11"/>
      <c r="E723" s="9"/>
      <c r="F723" s="21" t="str">
        <f>IF(E723="","",IFERROR(INDEX(食材マスタ!$D$10:$D$309,MATCH(E723,食材マスタ!$C$10:$C$309,0)),"※コード未登録"))</f>
        <v/>
      </c>
      <c r="G723" s="16"/>
      <c r="H723" s="8" t="str">
        <f>IF(E723="","",IFERROR(INDEX(食材マスタ!$H$10:$H$309,MATCH(E723,食材マスタ!$C$10:$C$309,0)),""))</f>
        <v/>
      </c>
      <c r="I723" s="15" t="str">
        <f>IF(E723="","",IFERROR(INDEX(食材マスタ!$K$10:$K$309,MATCH(E723,食材マスタ!$C$10:$C$309,0)),""))</f>
        <v/>
      </c>
      <c r="J723" s="15" t="str">
        <f t="shared" si="55"/>
        <v/>
      </c>
      <c r="K723" s="20"/>
      <c r="L723" s="8" t="str">
        <f t="shared" si="56"/>
        <v/>
      </c>
      <c r="M723" s="9"/>
      <c r="N723" s="13" t="str">
        <f t="shared" si="57"/>
        <v/>
      </c>
      <c r="O723" s="22" t="str">
        <f t="shared" ca="1" si="58"/>
        <v/>
      </c>
      <c r="P723" s="17" t="str">
        <f t="shared" si="59"/>
        <v/>
      </c>
      <c r="Q723" s="11"/>
      <c r="R723" s="19"/>
      <c r="S723" s="19"/>
      <c r="U723">
        <f ca="1">IF(AND(ISNUMBER(O723),O723&lt;=設定!$C$4),1,0)</f>
        <v>0</v>
      </c>
      <c r="V723" t="str">
        <f ca="1">IF(U723=1,SUM($U$10:U723),"")</f>
        <v/>
      </c>
    </row>
    <row r="724" spans="2:22">
      <c r="B724" s="8" t="str">
        <f>IF(C724="","",COUNT($C$10:C724))</f>
        <v/>
      </c>
      <c r="C724" s="20"/>
      <c r="D724" s="11"/>
      <c r="E724" s="9"/>
      <c r="F724" s="21" t="str">
        <f>IF(E724="","",IFERROR(INDEX(食材マスタ!$D$10:$D$309,MATCH(E724,食材マスタ!$C$10:$C$309,0)),"※コード未登録"))</f>
        <v/>
      </c>
      <c r="G724" s="16"/>
      <c r="H724" s="8" t="str">
        <f>IF(E724="","",IFERROR(INDEX(食材マスタ!$H$10:$H$309,MATCH(E724,食材マスタ!$C$10:$C$309,0)),""))</f>
        <v/>
      </c>
      <c r="I724" s="15" t="str">
        <f>IF(E724="","",IFERROR(INDEX(食材マスタ!$K$10:$K$309,MATCH(E724,食材マスタ!$C$10:$C$309,0)),""))</f>
        <v/>
      </c>
      <c r="J724" s="15" t="str">
        <f t="shared" si="55"/>
        <v/>
      </c>
      <c r="K724" s="20"/>
      <c r="L724" s="8" t="str">
        <f t="shared" si="56"/>
        <v/>
      </c>
      <c r="M724" s="9"/>
      <c r="N724" s="13" t="str">
        <f t="shared" si="57"/>
        <v/>
      </c>
      <c r="O724" s="22" t="str">
        <f t="shared" ca="1" si="58"/>
        <v/>
      </c>
      <c r="P724" s="17" t="str">
        <f t="shared" si="59"/>
        <v/>
      </c>
      <c r="Q724" s="11"/>
      <c r="R724" s="19"/>
      <c r="S724" s="19"/>
      <c r="U724">
        <f ca="1">IF(AND(ISNUMBER(O724),O724&lt;=設定!$C$4),1,0)</f>
        <v>0</v>
      </c>
      <c r="V724" t="str">
        <f ca="1">IF(U724=1,SUM($U$10:U724),"")</f>
        <v/>
      </c>
    </row>
    <row r="725" spans="2:22">
      <c r="B725" s="8" t="str">
        <f>IF(C725="","",COUNT($C$10:C725))</f>
        <v/>
      </c>
      <c r="C725" s="20"/>
      <c r="D725" s="11"/>
      <c r="E725" s="9"/>
      <c r="F725" s="21" t="str">
        <f>IF(E725="","",IFERROR(INDEX(食材マスタ!$D$10:$D$309,MATCH(E725,食材マスタ!$C$10:$C$309,0)),"※コード未登録"))</f>
        <v/>
      </c>
      <c r="G725" s="16"/>
      <c r="H725" s="8" t="str">
        <f>IF(E725="","",IFERROR(INDEX(食材マスタ!$H$10:$H$309,MATCH(E725,食材マスタ!$C$10:$C$309,0)),""))</f>
        <v/>
      </c>
      <c r="I725" s="15" t="str">
        <f>IF(E725="","",IFERROR(INDEX(食材マスタ!$K$10:$K$309,MATCH(E725,食材マスタ!$C$10:$C$309,0)),""))</f>
        <v/>
      </c>
      <c r="J725" s="15" t="str">
        <f t="shared" si="55"/>
        <v/>
      </c>
      <c r="K725" s="20"/>
      <c r="L725" s="8" t="str">
        <f t="shared" si="56"/>
        <v/>
      </c>
      <c r="M725" s="9"/>
      <c r="N725" s="13" t="str">
        <f t="shared" si="57"/>
        <v/>
      </c>
      <c r="O725" s="22" t="str">
        <f t="shared" ca="1" si="58"/>
        <v/>
      </c>
      <c r="P725" s="17" t="str">
        <f t="shared" si="59"/>
        <v/>
      </c>
      <c r="Q725" s="11"/>
      <c r="R725" s="19"/>
      <c r="S725" s="19"/>
      <c r="U725">
        <f ca="1">IF(AND(ISNUMBER(O725),O725&lt;=設定!$C$4),1,0)</f>
        <v>0</v>
      </c>
      <c r="V725" t="str">
        <f ca="1">IF(U725=1,SUM($U$10:U725),"")</f>
        <v/>
      </c>
    </row>
    <row r="726" spans="2:22">
      <c r="B726" s="8" t="str">
        <f>IF(C726="","",COUNT($C$10:C726))</f>
        <v/>
      </c>
      <c r="C726" s="20"/>
      <c r="D726" s="11"/>
      <c r="E726" s="9"/>
      <c r="F726" s="21" t="str">
        <f>IF(E726="","",IFERROR(INDEX(食材マスタ!$D$10:$D$309,MATCH(E726,食材マスタ!$C$10:$C$309,0)),"※コード未登録"))</f>
        <v/>
      </c>
      <c r="G726" s="16"/>
      <c r="H726" s="8" t="str">
        <f>IF(E726="","",IFERROR(INDEX(食材マスタ!$H$10:$H$309,MATCH(E726,食材マスタ!$C$10:$C$309,0)),""))</f>
        <v/>
      </c>
      <c r="I726" s="15" t="str">
        <f>IF(E726="","",IFERROR(INDEX(食材マスタ!$K$10:$K$309,MATCH(E726,食材マスタ!$C$10:$C$309,0)),""))</f>
        <v/>
      </c>
      <c r="J726" s="15" t="str">
        <f t="shared" si="55"/>
        <v/>
      </c>
      <c r="K726" s="20"/>
      <c r="L726" s="8" t="str">
        <f t="shared" si="56"/>
        <v/>
      </c>
      <c r="M726" s="9"/>
      <c r="N726" s="13" t="str">
        <f t="shared" si="57"/>
        <v/>
      </c>
      <c r="O726" s="22" t="str">
        <f t="shared" ca="1" si="58"/>
        <v/>
      </c>
      <c r="P726" s="17" t="str">
        <f t="shared" si="59"/>
        <v/>
      </c>
      <c r="Q726" s="11"/>
      <c r="R726" s="19"/>
      <c r="S726" s="19"/>
      <c r="U726">
        <f ca="1">IF(AND(ISNUMBER(O726),O726&lt;=設定!$C$4),1,0)</f>
        <v>0</v>
      </c>
      <c r="V726" t="str">
        <f ca="1">IF(U726=1,SUM($U$10:U726),"")</f>
        <v/>
      </c>
    </row>
    <row r="727" spans="2:22">
      <c r="B727" s="8" t="str">
        <f>IF(C727="","",COUNT($C$10:C727))</f>
        <v/>
      </c>
      <c r="C727" s="20"/>
      <c r="D727" s="11"/>
      <c r="E727" s="9"/>
      <c r="F727" s="21" t="str">
        <f>IF(E727="","",IFERROR(INDEX(食材マスタ!$D$10:$D$309,MATCH(E727,食材マスタ!$C$10:$C$309,0)),"※コード未登録"))</f>
        <v/>
      </c>
      <c r="G727" s="16"/>
      <c r="H727" s="8" t="str">
        <f>IF(E727="","",IFERROR(INDEX(食材マスタ!$H$10:$H$309,MATCH(E727,食材マスタ!$C$10:$C$309,0)),""))</f>
        <v/>
      </c>
      <c r="I727" s="15" t="str">
        <f>IF(E727="","",IFERROR(INDEX(食材マスタ!$K$10:$K$309,MATCH(E727,食材マスタ!$C$10:$C$309,0)),""))</f>
        <v/>
      </c>
      <c r="J727" s="15" t="str">
        <f t="shared" si="55"/>
        <v/>
      </c>
      <c r="K727" s="20"/>
      <c r="L727" s="8" t="str">
        <f t="shared" si="56"/>
        <v/>
      </c>
      <c r="M727" s="9"/>
      <c r="N727" s="13" t="str">
        <f t="shared" si="57"/>
        <v/>
      </c>
      <c r="O727" s="22" t="str">
        <f t="shared" ca="1" si="58"/>
        <v/>
      </c>
      <c r="P727" s="17" t="str">
        <f t="shared" si="59"/>
        <v/>
      </c>
      <c r="Q727" s="11"/>
      <c r="R727" s="19"/>
      <c r="S727" s="19"/>
      <c r="U727">
        <f ca="1">IF(AND(ISNUMBER(O727),O727&lt;=設定!$C$4),1,0)</f>
        <v>0</v>
      </c>
      <c r="V727" t="str">
        <f ca="1">IF(U727=1,SUM($U$10:U727),"")</f>
        <v/>
      </c>
    </row>
    <row r="728" spans="2:22">
      <c r="B728" s="8" t="str">
        <f>IF(C728="","",COUNT($C$10:C728))</f>
        <v/>
      </c>
      <c r="C728" s="20"/>
      <c r="D728" s="11"/>
      <c r="E728" s="9"/>
      <c r="F728" s="21" t="str">
        <f>IF(E728="","",IFERROR(INDEX(食材マスタ!$D$10:$D$309,MATCH(E728,食材マスタ!$C$10:$C$309,0)),"※コード未登録"))</f>
        <v/>
      </c>
      <c r="G728" s="16"/>
      <c r="H728" s="8" t="str">
        <f>IF(E728="","",IFERROR(INDEX(食材マスタ!$H$10:$H$309,MATCH(E728,食材マスタ!$C$10:$C$309,0)),""))</f>
        <v/>
      </c>
      <c r="I728" s="15" t="str">
        <f>IF(E728="","",IFERROR(INDEX(食材マスタ!$K$10:$K$309,MATCH(E728,食材マスタ!$C$10:$C$309,0)),""))</f>
        <v/>
      </c>
      <c r="J728" s="15" t="str">
        <f t="shared" si="55"/>
        <v/>
      </c>
      <c r="K728" s="20"/>
      <c r="L728" s="8" t="str">
        <f t="shared" si="56"/>
        <v/>
      </c>
      <c r="M728" s="9"/>
      <c r="N728" s="13" t="str">
        <f t="shared" si="57"/>
        <v/>
      </c>
      <c r="O728" s="22" t="str">
        <f t="shared" ca="1" si="58"/>
        <v/>
      </c>
      <c r="P728" s="17" t="str">
        <f t="shared" si="59"/>
        <v/>
      </c>
      <c r="Q728" s="11"/>
      <c r="R728" s="19"/>
      <c r="S728" s="19"/>
      <c r="U728">
        <f ca="1">IF(AND(ISNUMBER(O728),O728&lt;=設定!$C$4),1,0)</f>
        <v>0</v>
      </c>
      <c r="V728" t="str">
        <f ca="1">IF(U728=1,SUM($U$10:U728),"")</f>
        <v/>
      </c>
    </row>
    <row r="729" spans="2:22">
      <c r="B729" s="8" t="str">
        <f>IF(C729="","",COUNT($C$10:C729))</f>
        <v/>
      </c>
      <c r="C729" s="20"/>
      <c r="D729" s="11"/>
      <c r="E729" s="9"/>
      <c r="F729" s="21" t="str">
        <f>IF(E729="","",IFERROR(INDEX(食材マスタ!$D$10:$D$309,MATCH(E729,食材マスタ!$C$10:$C$309,0)),"※コード未登録"))</f>
        <v/>
      </c>
      <c r="G729" s="16"/>
      <c r="H729" s="8" t="str">
        <f>IF(E729="","",IFERROR(INDEX(食材マスタ!$H$10:$H$309,MATCH(E729,食材マスタ!$C$10:$C$309,0)),""))</f>
        <v/>
      </c>
      <c r="I729" s="15" t="str">
        <f>IF(E729="","",IFERROR(INDEX(食材マスタ!$K$10:$K$309,MATCH(E729,食材マスタ!$C$10:$C$309,0)),""))</f>
        <v/>
      </c>
      <c r="J729" s="15" t="str">
        <f t="shared" si="55"/>
        <v/>
      </c>
      <c r="K729" s="20"/>
      <c r="L729" s="8" t="str">
        <f t="shared" si="56"/>
        <v/>
      </c>
      <c r="M729" s="9"/>
      <c r="N729" s="13" t="str">
        <f t="shared" si="57"/>
        <v/>
      </c>
      <c r="O729" s="22" t="str">
        <f t="shared" ca="1" si="58"/>
        <v/>
      </c>
      <c r="P729" s="17" t="str">
        <f t="shared" si="59"/>
        <v/>
      </c>
      <c r="Q729" s="11"/>
      <c r="R729" s="19"/>
      <c r="S729" s="19"/>
      <c r="U729">
        <f ca="1">IF(AND(ISNUMBER(O729),O729&lt;=設定!$C$4),1,0)</f>
        <v>0</v>
      </c>
      <c r="V729" t="str">
        <f ca="1">IF(U729=1,SUM($U$10:U729),"")</f>
        <v/>
      </c>
    </row>
    <row r="730" spans="2:22">
      <c r="B730" s="8" t="str">
        <f>IF(C730="","",COUNT($C$10:C730))</f>
        <v/>
      </c>
      <c r="C730" s="20"/>
      <c r="D730" s="11"/>
      <c r="E730" s="9"/>
      <c r="F730" s="21" t="str">
        <f>IF(E730="","",IFERROR(INDEX(食材マスタ!$D$10:$D$309,MATCH(E730,食材マスタ!$C$10:$C$309,0)),"※コード未登録"))</f>
        <v/>
      </c>
      <c r="G730" s="16"/>
      <c r="H730" s="8" t="str">
        <f>IF(E730="","",IFERROR(INDEX(食材マスタ!$H$10:$H$309,MATCH(E730,食材マスタ!$C$10:$C$309,0)),""))</f>
        <v/>
      </c>
      <c r="I730" s="15" t="str">
        <f>IF(E730="","",IFERROR(INDEX(食材マスタ!$K$10:$K$309,MATCH(E730,食材マスタ!$C$10:$C$309,0)),""))</f>
        <v/>
      </c>
      <c r="J730" s="15" t="str">
        <f t="shared" si="55"/>
        <v/>
      </c>
      <c r="K730" s="20"/>
      <c r="L730" s="8" t="str">
        <f t="shared" si="56"/>
        <v/>
      </c>
      <c r="M730" s="9"/>
      <c r="N730" s="13" t="str">
        <f t="shared" si="57"/>
        <v/>
      </c>
      <c r="O730" s="22" t="str">
        <f t="shared" ca="1" si="58"/>
        <v/>
      </c>
      <c r="P730" s="17" t="str">
        <f t="shared" si="59"/>
        <v/>
      </c>
      <c r="Q730" s="11"/>
      <c r="R730" s="19"/>
      <c r="S730" s="19"/>
      <c r="U730">
        <f ca="1">IF(AND(ISNUMBER(O730),O730&lt;=設定!$C$4),1,0)</f>
        <v>0</v>
      </c>
      <c r="V730" t="str">
        <f ca="1">IF(U730=1,SUM($U$10:U730),"")</f>
        <v/>
      </c>
    </row>
    <row r="731" spans="2:22">
      <c r="B731" s="8" t="str">
        <f>IF(C731="","",COUNT($C$10:C731))</f>
        <v/>
      </c>
      <c r="C731" s="20"/>
      <c r="D731" s="11"/>
      <c r="E731" s="9"/>
      <c r="F731" s="21" t="str">
        <f>IF(E731="","",IFERROR(INDEX(食材マスタ!$D$10:$D$309,MATCH(E731,食材マスタ!$C$10:$C$309,0)),"※コード未登録"))</f>
        <v/>
      </c>
      <c r="G731" s="16"/>
      <c r="H731" s="8" t="str">
        <f>IF(E731="","",IFERROR(INDEX(食材マスタ!$H$10:$H$309,MATCH(E731,食材マスタ!$C$10:$C$309,0)),""))</f>
        <v/>
      </c>
      <c r="I731" s="15" t="str">
        <f>IF(E731="","",IFERROR(INDEX(食材マスタ!$K$10:$K$309,MATCH(E731,食材マスタ!$C$10:$C$309,0)),""))</f>
        <v/>
      </c>
      <c r="J731" s="15" t="str">
        <f t="shared" si="55"/>
        <v/>
      </c>
      <c r="K731" s="20"/>
      <c r="L731" s="8" t="str">
        <f t="shared" si="56"/>
        <v/>
      </c>
      <c r="M731" s="9"/>
      <c r="N731" s="13" t="str">
        <f t="shared" si="57"/>
        <v/>
      </c>
      <c r="O731" s="22" t="str">
        <f t="shared" ca="1" si="58"/>
        <v/>
      </c>
      <c r="P731" s="17" t="str">
        <f t="shared" si="59"/>
        <v/>
      </c>
      <c r="Q731" s="11"/>
      <c r="R731" s="19"/>
      <c r="S731" s="19"/>
      <c r="U731">
        <f ca="1">IF(AND(ISNUMBER(O731),O731&lt;=設定!$C$4),1,0)</f>
        <v>0</v>
      </c>
      <c r="V731" t="str">
        <f ca="1">IF(U731=1,SUM($U$10:U731),"")</f>
        <v/>
      </c>
    </row>
    <row r="732" spans="2:22">
      <c r="B732" s="8" t="str">
        <f>IF(C732="","",COUNT($C$10:C732))</f>
        <v/>
      </c>
      <c r="C732" s="20"/>
      <c r="D732" s="11"/>
      <c r="E732" s="9"/>
      <c r="F732" s="21" t="str">
        <f>IF(E732="","",IFERROR(INDEX(食材マスタ!$D$10:$D$309,MATCH(E732,食材マスタ!$C$10:$C$309,0)),"※コード未登録"))</f>
        <v/>
      </c>
      <c r="G732" s="16"/>
      <c r="H732" s="8" t="str">
        <f>IF(E732="","",IFERROR(INDEX(食材マスタ!$H$10:$H$309,MATCH(E732,食材マスタ!$C$10:$C$309,0)),""))</f>
        <v/>
      </c>
      <c r="I732" s="15" t="str">
        <f>IF(E732="","",IFERROR(INDEX(食材マスタ!$K$10:$K$309,MATCH(E732,食材マスタ!$C$10:$C$309,0)),""))</f>
        <v/>
      </c>
      <c r="J732" s="15" t="str">
        <f t="shared" si="55"/>
        <v/>
      </c>
      <c r="K732" s="20"/>
      <c r="L732" s="8" t="str">
        <f t="shared" si="56"/>
        <v/>
      </c>
      <c r="M732" s="9"/>
      <c r="N732" s="13" t="str">
        <f t="shared" si="57"/>
        <v/>
      </c>
      <c r="O732" s="22" t="str">
        <f t="shared" ca="1" si="58"/>
        <v/>
      </c>
      <c r="P732" s="17" t="str">
        <f t="shared" si="59"/>
        <v/>
      </c>
      <c r="Q732" s="11"/>
      <c r="R732" s="19"/>
      <c r="S732" s="19"/>
      <c r="U732">
        <f ca="1">IF(AND(ISNUMBER(O732),O732&lt;=設定!$C$4),1,0)</f>
        <v>0</v>
      </c>
      <c r="V732" t="str">
        <f ca="1">IF(U732=1,SUM($U$10:U732),"")</f>
        <v/>
      </c>
    </row>
    <row r="733" spans="2:22">
      <c r="B733" s="8" t="str">
        <f>IF(C733="","",COUNT($C$10:C733))</f>
        <v/>
      </c>
      <c r="C733" s="20"/>
      <c r="D733" s="11"/>
      <c r="E733" s="9"/>
      <c r="F733" s="21" t="str">
        <f>IF(E733="","",IFERROR(INDEX(食材マスタ!$D$10:$D$309,MATCH(E733,食材マスタ!$C$10:$C$309,0)),"※コード未登録"))</f>
        <v/>
      </c>
      <c r="G733" s="16"/>
      <c r="H733" s="8" t="str">
        <f>IF(E733="","",IFERROR(INDEX(食材マスタ!$H$10:$H$309,MATCH(E733,食材マスタ!$C$10:$C$309,0)),""))</f>
        <v/>
      </c>
      <c r="I733" s="15" t="str">
        <f>IF(E733="","",IFERROR(INDEX(食材マスタ!$K$10:$K$309,MATCH(E733,食材マスタ!$C$10:$C$309,0)),""))</f>
        <v/>
      </c>
      <c r="J733" s="15" t="str">
        <f t="shared" si="55"/>
        <v/>
      </c>
      <c r="K733" s="20"/>
      <c r="L733" s="8" t="str">
        <f t="shared" si="56"/>
        <v/>
      </c>
      <c r="M733" s="9"/>
      <c r="N733" s="13" t="str">
        <f t="shared" si="57"/>
        <v/>
      </c>
      <c r="O733" s="22" t="str">
        <f t="shared" ca="1" si="58"/>
        <v/>
      </c>
      <c r="P733" s="17" t="str">
        <f t="shared" si="59"/>
        <v/>
      </c>
      <c r="Q733" s="11"/>
      <c r="R733" s="19"/>
      <c r="S733" s="19"/>
      <c r="U733">
        <f ca="1">IF(AND(ISNUMBER(O733),O733&lt;=設定!$C$4),1,0)</f>
        <v>0</v>
      </c>
      <c r="V733" t="str">
        <f ca="1">IF(U733=1,SUM($U$10:U733),"")</f>
        <v/>
      </c>
    </row>
    <row r="734" spans="2:22">
      <c r="B734" s="8" t="str">
        <f>IF(C734="","",COUNT($C$10:C734))</f>
        <v/>
      </c>
      <c r="C734" s="20"/>
      <c r="D734" s="11"/>
      <c r="E734" s="9"/>
      <c r="F734" s="21" t="str">
        <f>IF(E734="","",IFERROR(INDEX(食材マスタ!$D$10:$D$309,MATCH(E734,食材マスタ!$C$10:$C$309,0)),"※コード未登録"))</f>
        <v/>
      </c>
      <c r="G734" s="16"/>
      <c r="H734" s="8" t="str">
        <f>IF(E734="","",IFERROR(INDEX(食材マスタ!$H$10:$H$309,MATCH(E734,食材マスタ!$C$10:$C$309,0)),""))</f>
        <v/>
      </c>
      <c r="I734" s="15" t="str">
        <f>IF(E734="","",IFERROR(INDEX(食材マスタ!$K$10:$K$309,MATCH(E734,食材マスタ!$C$10:$C$309,0)),""))</f>
        <v/>
      </c>
      <c r="J734" s="15" t="str">
        <f t="shared" si="55"/>
        <v/>
      </c>
      <c r="K734" s="20"/>
      <c r="L734" s="8" t="str">
        <f t="shared" si="56"/>
        <v/>
      </c>
      <c r="M734" s="9"/>
      <c r="N734" s="13" t="str">
        <f t="shared" si="57"/>
        <v/>
      </c>
      <c r="O734" s="22" t="str">
        <f t="shared" ca="1" si="58"/>
        <v/>
      </c>
      <c r="P734" s="17" t="str">
        <f t="shared" si="59"/>
        <v/>
      </c>
      <c r="Q734" s="11"/>
      <c r="R734" s="19"/>
      <c r="S734" s="19"/>
      <c r="U734">
        <f ca="1">IF(AND(ISNUMBER(O734),O734&lt;=設定!$C$4),1,0)</f>
        <v>0</v>
      </c>
      <c r="V734" t="str">
        <f ca="1">IF(U734=1,SUM($U$10:U734),"")</f>
        <v/>
      </c>
    </row>
    <row r="735" spans="2:22">
      <c r="B735" s="8" t="str">
        <f>IF(C735="","",COUNT($C$10:C735))</f>
        <v/>
      </c>
      <c r="C735" s="20"/>
      <c r="D735" s="11"/>
      <c r="E735" s="9"/>
      <c r="F735" s="21" t="str">
        <f>IF(E735="","",IFERROR(INDEX(食材マスタ!$D$10:$D$309,MATCH(E735,食材マスタ!$C$10:$C$309,0)),"※コード未登録"))</f>
        <v/>
      </c>
      <c r="G735" s="16"/>
      <c r="H735" s="8" t="str">
        <f>IF(E735="","",IFERROR(INDEX(食材マスタ!$H$10:$H$309,MATCH(E735,食材マスタ!$C$10:$C$309,0)),""))</f>
        <v/>
      </c>
      <c r="I735" s="15" t="str">
        <f>IF(E735="","",IFERROR(INDEX(食材マスタ!$K$10:$K$309,MATCH(E735,食材マスタ!$C$10:$C$309,0)),""))</f>
        <v/>
      </c>
      <c r="J735" s="15" t="str">
        <f t="shared" si="55"/>
        <v/>
      </c>
      <c r="K735" s="20"/>
      <c r="L735" s="8" t="str">
        <f t="shared" si="56"/>
        <v/>
      </c>
      <c r="M735" s="9"/>
      <c r="N735" s="13" t="str">
        <f t="shared" si="57"/>
        <v/>
      </c>
      <c r="O735" s="22" t="str">
        <f t="shared" ca="1" si="58"/>
        <v/>
      </c>
      <c r="P735" s="17" t="str">
        <f t="shared" si="59"/>
        <v/>
      </c>
      <c r="Q735" s="11"/>
      <c r="R735" s="19"/>
      <c r="S735" s="19"/>
      <c r="U735">
        <f ca="1">IF(AND(ISNUMBER(O735),O735&lt;=設定!$C$4),1,0)</f>
        <v>0</v>
      </c>
      <c r="V735" t="str">
        <f ca="1">IF(U735=1,SUM($U$10:U735),"")</f>
        <v/>
      </c>
    </row>
    <row r="736" spans="2:22">
      <c r="B736" s="8" t="str">
        <f>IF(C736="","",COUNT($C$10:C736))</f>
        <v/>
      </c>
      <c r="C736" s="20"/>
      <c r="D736" s="11"/>
      <c r="E736" s="9"/>
      <c r="F736" s="21" t="str">
        <f>IF(E736="","",IFERROR(INDEX(食材マスタ!$D$10:$D$309,MATCH(E736,食材マスタ!$C$10:$C$309,0)),"※コード未登録"))</f>
        <v/>
      </c>
      <c r="G736" s="16"/>
      <c r="H736" s="8" t="str">
        <f>IF(E736="","",IFERROR(INDEX(食材マスタ!$H$10:$H$309,MATCH(E736,食材マスタ!$C$10:$C$309,0)),""))</f>
        <v/>
      </c>
      <c r="I736" s="15" t="str">
        <f>IF(E736="","",IFERROR(INDEX(食材マスタ!$K$10:$K$309,MATCH(E736,食材マスタ!$C$10:$C$309,0)),""))</f>
        <v/>
      </c>
      <c r="J736" s="15" t="str">
        <f t="shared" si="55"/>
        <v/>
      </c>
      <c r="K736" s="20"/>
      <c r="L736" s="8" t="str">
        <f t="shared" si="56"/>
        <v/>
      </c>
      <c r="M736" s="9"/>
      <c r="N736" s="13" t="str">
        <f t="shared" si="57"/>
        <v/>
      </c>
      <c r="O736" s="22" t="str">
        <f t="shared" ca="1" si="58"/>
        <v/>
      </c>
      <c r="P736" s="17" t="str">
        <f t="shared" si="59"/>
        <v/>
      </c>
      <c r="Q736" s="11"/>
      <c r="R736" s="19"/>
      <c r="S736" s="19"/>
      <c r="U736">
        <f ca="1">IF(AND(ISNUMBER(O736),O736&lt;=設定!$C$4),1,0)</f>
        <v>0</v>
      </c>
      <c r="V736" t="str">
        <f ca="1">IF(U736=1,SUM($U$10:U736),"")</f>
        <v/>
      </c>
    </row>
    <row r="737" spans="2:22">
      <c r="B737" s="8" t="str">
        <f>IF(C737="","",COUNT($C$10:C737))</f>
        <v/>
      </c>
      <c r="C737" s="20"/>
      <c r="D737" s="11"/>
      <c r="E737" s="9"/>
      <c r="F737" s="21" t="str">
        <f>IF(E737="","",IFERROR(INDEX(食材マスタ!$D$10:$D$309,MATCH(E737,食材マスタ!$C$10:$C$309,0)),"※コード未登録"))</f>
        <v/>
      </c>
      <c r="G737" s="16"/>
      <c r="H737" s="8" t="str">
        <f>IF(E737="","",IFERROR(INDEX(食材マスタ!$H$10:$H$309,MATCH(E737,食材マスタ!$C$10:$C$309,0)),""))</f>
        <v/>
      </c>
      <c r="I737" s="15" t="str">
        <f>IF(E737="","",IFERROR(INDEX(食材マスタ!$K$10:$K$309,MATCH(E737,食材マスタ!$C$10:$C$309,0)),""))</f>
        <v/>
      </c>
      <c r="J737" s="15" t="str">
        <f t="shared" si="55"/>
        <v/>
      </c>
      <c r="K737" s="20"/>
      <c r="L737" s="8" t="str">
        <f t="shared" si="56"/>
        <v/>
      </c>
      <c r="M737" s="9"/>
      <c r="N737" s="13" t="str">
        <f t="shared" si="57"/>
        <v/>
      </c>
      <c r="O737" s="22" t="str">
        <f t="shared" ca="1" si="58"/>
        <v/>
      </c>
      <c r="P737" s="17" t="str">
        <f t="shared" si="59"/>
        <v/>
      </c>
      <c r="Q737" s="11"/>
      <c r="R737" s="19"/>
      <c r="S737" s="19"/>
      <c r="U737">
        <f ca="1">IF(AND(ISNUMBER(O737),O737&lt;=設定!$C$4),1,0)</f>
        <v>0</v>
      </c>
      <c r="V737" t="str">
        <f ca="1">IF(U737=1,SUM($U$10:U737),"")</f>
        <v/>
      </c>
    </row>
    <row r="738" spans="2:22">
      <c r="B738" s="8" t="str">
        <f>IF(C738="","",COUNT($C$10:C738))</f>
        <v/>
      </c>
      <c r="C738" s="20"/>
      <c r="D738" s="11"/>
      <c r="E738" s="9"/>
      <c r="F738" s="21" t="str">
        <f>IF(E738="","",IFERROR(INDEX(食材マスタ!$D$10:$D$309,MATCH(E738,食材マスタ!$C$10:$C$309,0)),"※コード未登録"))</f>
        <v/>
      </c>
      <c r="G738" s="16"/>
      <c r="H738" s="8" t="str">
        <f>IF(E738="","",IFERROR(INDEX(食材マスタ!$H$10:$H$309,MATCH(E738,食材マスタ!$C$10:$C$309,0)),""))</f>
        <v/>
      </c>
      <c r="I738" s="15" t="str">
        <f>IF(E738="","",IFERROR(INDEX(食材マスタ!$K$10:$K$309,MATCH(E738,食材マスタ!$C$10:$C$309,0)),""))</f>
        <v/>
      </c>
      <c r="J738" s="15" t="str">
        <f t="shared" si="55"/>
        <v/>
      </c>
      <c r="K738" s="20"/>
      <c r="L738" s="8" t="str">
        <f t="shared" si="56"/>
        <v/>
      </c>
      <c r="M738" s="9"/>
      <c r="N738" s="13" t="str">
        <f t="shared" si="57"/>
        <v/>
      </c>
      <c r="O738" s="22" t="str">
        <f t="shared" ca="1" si="58"/>
        <v/>
      </c>
      <c r="P738" s="17" t="str">
        <f t="shared" si="59"/>
        <v/>
      </c>
      <c r="Q738" s="11"/>
      <c r="R738" s="19"/>
      <c r="S738" s="19"/>
      <c r="U738">
        <f ca="1">IF(AND(ISNUMBER(O738),O738&lt;=設定!$C$4),1,0)</f>
        <v>0</v>
      </c>
      <c r="V738" t="str">
        <f ca="1">IF(U738=1,SUM($U$10:U738),"")</f>
        <v/>
      </c>
    </row>
    <row r="739" spans="2:22">
      <c r="B739" s="8" t="str">
        <f>IF(C739="","",COUNT($C$10:C739))</f>
        <v/>
      </c>
      <c r="C739" s="20"/>
      <c r="D739" s="11"/>
      <c r="E739" s="9"/>
      <c r="F739" s="21" t="str">
        <f>IF(E739="","",IFERROR(INDEX(食材マスタ!$D$10:$D$309,MATCH(E739,食材マスタ!$C$10:$C$309,0)),"※コード未登録"))</f>
        <v/>
      </c>
      <c r="G739" s="16"/>
      <c r="H739" s="8" t="str">
        <f>IF(E739="","",IFERROR(INDEX(食材マスタ!$H$10:$H$309,MATCH(E739,食材マスタ!$C$10:$C$309,0)),""))</f>
        <v/>
      </c>
      <c r="I739" s="15" t="str">
        <f>IF(E739="","",IFERROR(INDEX(食材マスタ!$K$10:$K$309,MATCH(E739,食材マスタ!$C$10:$C$309,0)),""))</f>
        <v/>
      </c>
      <c r="J739" s="15" t="str">
        <f t="shared" si="55"/>
        <v/>
      </c>
      <c r="K739" s="20"/>
      <c r="L739" s="8" t="str">
        <f t="shared" si="56"/>
        <v/>
      </c>
      <c r="M739" s="9"/>
      <c r="N739" s="13" t="str">
        <f t="shared" si="57"/>
        <v/>
      </c>
      <c r="O739" s="22" t="str">
        <f t="shared" ca="1" si="58"/>
        <v/>
      </c>
      <c r="P739" s="17" t="str">
        <f t="shared" si="59"/>
        <v/>
      </c>
      <c r="Q739" s="11"/>
      <c r="R739" s="19"/>
      <c r="S739" s="19"/>
      <c r="U739">
        <f ca="1">IF(AND(ISNUMBER(O739),O739&lt;=設定!$C$4),1,0)</f>
        <v>0</v>
      </c>
      <c r="V739" t="str">
        <f ca="1">IF(U739=1,SUM($U$10:U739),"")</f>
        <v/>
      </c>
    </row>
    <row r="740" spans="2:22">
      <c r="B740" s="8" t="str">
        <f>IF(C740="","",COUNT($C$10:C740))</f>
        <v/>
      </c>
      <c r="C740" s="20"/>
      <c r="D740" s="11"/>
      <c r="E740" s="9"/>
      <c r="F740" s="21" t="str">
        <f>IF(E740="","",IFERROR(INDEX(食材マスタ!$D$10:$D$309,MATCH(E740,食材マスタ!$C$10:$C$309,0)),"※コード未登録"))</f>
        <v/>
      </c>
      <c r="G740" s="16"/>
      <c r="H740" s="8" t="str">
        <f>IF(E740="","",IFERROR(INDEX(食材マスタ!$H$10:$H$309,MATCH(E740,食材マスタ!$C$10:$C$309,0)),""))</f>
        <v/>
      </c>
      <c r="I740" s="15" t="str">
        <f>IF(E740="","",IFERROR(INDEX(食材マスタ!$K$10:$K$309,MATCH(E740,食材マスタ!$C$10:$C$309,0)),""))</f>
        <v/>
      </c>
      <c r="J740" s="15" t="str">
        <f t="shared" si="55"/>
        <v/>
      </c>
      <c r="K740" s="20"/>
      <c r="L740" s="8" t="str">
        <f t="shared" si="56"/>
        <v/>
      </c>
      <c r="M740" s="9"/>
      <c r="N740" s="13" t="str">
        <f t="shared" si="57"/>
        <v/>
      </c>
      <c r="O740" s="22" t="str">
        <f t="shared" ca="1" si="58"/>
        <v/>
      </c>
      <c r="P740" s="17" t="str">
        <f t="shared" si="59"/>
        <v/>
      </c>
      <c r="Q740" s="11"/>
      <c r="R740" s="19"/>
      <c r="S740" s="19"/>
      <c r="U740">
        <f ca="1">IF(AND(ISNUMBER(O740),O740&lt;=設定!$C$4),1,0)</f>
        <v>0</v>
      </c>
      <c r="V740" t="str">
        <f ca="1">IF(U740=1,SUM($U$10:U740),"")</f>
        <v/>
      </c>
    </row>
    <row r="741" spans="2:22">
      <c r="B741" s="8" t="str">
        <f>IF(C741="","",COUNT($C$10:C741))</f>
        <v/>
      </c>
      <c r="C741" s="20"/>
      <c r="D741" s="11"/>
      <c r="E741" s="9"/>
      <c r="F741" s="21" t="str">
        <f>IF(E741="","",IFERROR(INDEX(食材マスタ!$D$10:$D$309,MATCH(E741,食材マスタ!$C$10:$C$309,0)),"※コード未登録"))</f>
        <v/>
      </c>
      <c r="G741" s="16"/>
      <c r="H741" s="8" t="str">
        <f>IF(E741="","",IFERROR(INDEX(食材マスタ!$H$10:$H$309,MATCH(E741,食材マスタ!$C$10:$C$309,0)),""))</f>
        <v/>
      </c>
      <c r="I741" s="15" t="str">
        <f>IF(E741="","",IFERROR(INDEX(食材マスタ!$K$10:$K$309,MATCH(E741,食材マスタ!$C$10:$C$309,0)),""))</f>
        <v/>
      </c>
      <c r="J741" s="15" t="str">
        <f t="shared" si="55"/>
        <v/>
      </c>
      <c r="K741" s="20"/>
      <c r="L741" s="8" t="str">
        <f t="shared" si="56"/>
        <v/>
      </c>
      <c r="M741" s="9"/>
      <c r="N741" s="13" t="str">
        <f t="shared" si="57"/>
        <v/>
      </c>
      <c r="O741" s="22" t="str">
        <f t="shared" ca="1" si="58"/>
        <v/>
      </c>
      <c r="P741" s="17" t="str">
        <f t="shared" si="59"/>
        <v/>
      </c>
      <c r="Q741" s="11"/>
      <c r="R741" s="19"/>
      <c r="S741" s="19"/>
      <c r="U741">
        <f ca="1">IF(AND(ISNUMBER(O741),O741&lt;=設定!$C$4),1,0)</f>
        <v>0</v>
      </c>
      <c r="V741" t="str">
        <f ca="1">IF(U741=1,SUM($U$10:U741),"")</f>
        <v/>
      </c>
    </row>
    <row r="742" spans="2:22">
      <c r="B742" s="8" t="str">
        <f>IF(C742="","",COUNT($C$10:C742))</f>
        <v/>
      </c>
      <c r="C742" s="20"/>
      <c r="D742" s="11"/>
      <c r="E742" s="9"/>
      <c r="F742" s="21" t="str">
        <f>IF(E742="","",IFERROR(INDEX(食材マスタ!$D$10:$D$309,MATCH(E742,食材マスタ!$C$10:$C$309,0)),"※コード未登録"))</f>
        <v/>
      </c>
      <c r="G742" s="16"/>
      <c r="H742" s="8" t="str">
        <f>IF(E742="","",IFERROR(INDEX(食材マスタ!$H$10:$H$309,MATCH(E742,食材マスタ!$C$10:$C$309,0)),""))</f>
        <v/>
      </c>
      <c r="I742" s="15" t="str">
        <f>IF(E742="","",IFERROR(INDEX(食材マスタ!$K$10:$K$309,MATCH(E742,食材マスタ!$C$10:$C$309,0)),""))</f>
        <v/>
      </c>
      <c r="J742" s="15" t="str">
        <f t="shared" si="55"/>
        <v/>
      </c>
      <c r="K742" s="20"/>
      <c r="L742" s="8" t="str">
        <f t="shared" si="56"/>
        <v/>
      </c>
      <c r="M742" s="9"/>
      <c r="N742" s="13" t="str">
        <f t="shared" si="57"/>
        <v/>
      </c>
      <c r="O742" s="22" t="str">
        <f t="shared" ca="1" si="58"/>
        <v/>
      </c>
      <c r="P742" s="17" t="str">
        <f t="shared" si="59"/>
        <v/>
      </c>
      <c r="Q742" s="11"/>
      <c r="R742" s="19"/>
      <c r="S742" s="19"/>
      <c r="U742">
        <f ca="1">IF(AND(ISNUMBER(O742),O742&lt;=設定!$C$4),1,0)</f>
        <v>0</v>
      </c>
      <c r="V742" t="str">
        <f ca="1">IF(U742=1,SUM($U$10:U742),"")</f>
        <v/>
      </c>
    </row>
    <row r="743" spans="2:22">
      <c r="B743" s="8" t="str">
        <f>IF(C743="","",COUNT($C$10:C743))</f>
        <v/>
      </c>
      <c r="C743" s="20"/>
      <c r="D743" s="11"/>
      <c r="E743" s="9"/>
      <c r="F743" s="21" t="str">
        <f>IF(E743="","",IFERROR(INDEX(食材マスタ!$D$10:$D$309,MATCH(E743,食材マスタ!$C$10:$C$309,0)),"※コード未登録"))</f>
        <v/>
      </c>
      <c r="G743" s="16"/>
      <c r="H743" s="8" t="str">
        <f>IF(E743="","",IFERROR(INDEX(食材マスタ!$H$10:$H$309,MATCH(E743,食材マスタ!$C$10:$C$309,0)),""))</f>
        <v/>
      </c>
      <c r="I743" s="15" t="str">
        <f>IF(E743="","",IFERROR(INDEX(食材マスタ!$K$10:$K$309,MATCH(E743,食材マスタ!$C$10:$C$309,0)),""))</f>
        <v/>
      </c>
      <c r="J743" s="15" t="str">
        <f t="shared" si="55"/>
        <v/>
      </c>
      <c r="K743" s="20"/>
      <c r="L743" s="8" t="str">
        <f t="shared" si="56"/>
        <v/>
      </c>
      <c r="M743" s="9"/>
      <c r="N743" s="13" t="str">
        <f t="shared" si="57"/>
        <v/>
      </c>
      <c r="O743" s="22" t="str">
        <f t="shared" ca="1" si="58"/>
        <v/>
      </c>
      <c r="P743" s="17" t="str">
        <f t="shared" si="59"/>
        <v/>
      </c>
      <c r="Q743" s="11"/>
      <c r="R743" s="19"/>
      <c r="S743" s="19"/>
      <c r="U743">
        <f ca="1">IF(AND(ISNUMBER(O743),O743&lt;=設定!$C$4),1,0)</f>
        <v>0</v>
      </c>
      <c r="V743" t="str">
        <f ca="1">IF(U743=1,SUM($U$10:U743),"")</f>
        <v/>
      </c>
    </row>
    <row r="744" spans="2:22">
      <c r="B744" s="8" t="str">
        <f>IF(C744="","",COUNT($C$10:C744))</f>
        <v/>
      </c>
      <c r="C744" s="20"/>
      <c r="D744" s="11"/>
      <c r="E744" s="9"/>
      <c r="F744" s="21" t="str">
        <f>IF(E744="","",IFERROR(INDEX(食材マスタ!$D$10:$D$309,MATCH(E744,食材マスタ!$C$10:$C$309,0)),"※コード未登録"))</f>
        <v/>
      </c>
      <c r="G744" s="16"/>
      <c r="H744" s="8" t="str">
        <f>IF(E744="","",IFERROR(INDEX(食材マスタ!$H$10:$H$309,MATCH(E744,食材マスタ!$C$10:$C$309,0)),""))</f>
        <v/>
      </c>
      <c r="I744" s="15" t="str">
        <f>IF(E744="","",IFERROR(INDEX(食材マスタ!$K$10:$K$309,MATCH(E744,食材マスタ!$C$10:$C$309,0)),""))</f>
        <v/>
      </c>
      <c r="J744" s="15" t="str">
        <f t="shared" si="55"/>
        <v/>
      </c>
      <c r="K744" s="20"/>
      <c r="L744" s="8" t="str">
        <f t="shared" si="56"/>
        <v/>
      </c>
      <c r="M744" s="9"/>
      <c r="N744" s="13" t="str">
        <f t="shared" si="57"/>
        <v/>
      </c>
      <c r="O744" s="22" t="str">
        <f t="shared" ca="1" si="58"/>
        <v/>
      </c>
      <c r="P744" s="17" t="str">
        <f t="shared" si="59"/>
        <v/>
      </c>
      <c r="Q744" s="11"/>
      <c r="R744" s="19"/>
      <c r="S744" s="19"/>
      <c r="U744">
        <f ca="1">IF(AND(ISNUMBER(O744),O744&lt;=設定!$C$4),1,0)</f>
        <v>0</v>
      </c>
      <c r="V744" t="str">
        <f ca="1">IF(U744=1,SUM($U$10:U744),"")</f>
        <v/>
      </c>
    </row>
    <row r="745" spans="2:22">
      <c r="B745" s="8" t="str">
        <f>IF(C745="","",COUNT($C$10:C745))</f>
        <v/>
      </c>
      <c r="C745" s="20"/>
      <c r="D745" s="11"/>
      <c r="E745" s="9"/>
      <c r="F745" s="21" t="str">
        <f>IF(E745="","",IFERROR(INDEX(食材マスタ!$D$10:$D$309,MATCH(E745,食材マスタ!$C$10:$C$309,0)),"※コード未登録"))</f>
        <v/>
      </c>
      <c r="G745" s="16"/>
      <c r="H745" s="8" t="str">
        <f>IF(E745="","",IFERROR(INDEX(食材マスタ!$H$10:$H$309,MATCH(E745,食材マスタ!$C$10:$C$309,0)),""))</f>
        <v/>
      </c>
      <c r="I745" s="15" t="str">
        <f>IF(E745="","",IFERROR(INDEX(食材マスタ!$K$10:$K$309,MATCH(E745,食材マスタ!$C$10:$C$309,0)),""))</f>
        <v/>
      </c>
      <c r="J745" s="15" t="str">
        <f t="shared" si="55"/>
        <v/>
      </c>
      <c r="K745" s="20"/>
      <c r="L745" s="8" t="str">
        <f t="shared" si="56"/>
        <v/>
      </c>
      <c r="M745" s="9"/>
      <c r="N745" s="13" t="str">
        <f t="shared" si="57"/>
        <v/>
      </c>
      <c r="O745" s="22" t="str">
        <f t="shared" ca="1" si="58"/>
        <v/>
      </c>
      <c r="P745" s="17" t="str">
        <f t="shared" si="59"/>
        <v/>
      </c>
      <c r="Q745" s="11"/>
      <c r="R745" s="19"/>
      <c r="S745" s="19"/>
      <c r="U745">
        <f ca="1">IF(AND(ISNUMBER(O745),O745&lt;=設定!$C$4),1,0)</f>
        <v>0</v>
      </c>
      <c r="V745" t="str">
        <f ca="1">IF(U745=1,SUM($U$10:U745),"")</f>
        <v/>
      </c>
    </row>
    <row r="746" spans="2:22">
      <c r="B746" s="8" t="str">
        <f>IF(C746="","",COUNT($C$10:C746))</f>
        <v/>
      </c>
      <c r="C746" s="20"/>
      <c r="D746" s="11"/>
      <c r="E746" s="9"/>
      <c r="F746" s="21" t="str">
        <f>IF(E746="","",IFERROR(INDEX(食材マスタ!$D$10:$D$309,MATCH(E746,食材マスタ!$C$10:$C$309,0)),"※コード未登録"))</f>
        <v/>
      </c>
      <c r="G746" s="16"/>
      <c r="H746" s="8" t="str">
        <f>IF(E746="","",IFERROR(INDEX(食材マスタ!$H$10:$H$309,MATCH(E746,食材マスタ!$C$10:$C$309,0)),""))</f>
        <v/>
      </c>
      <c r="I746" s="15" t="str">
        <f>IF(E746="","",IFERROR(INDEX(食材マスタ!$K$10:$K$309,MATCH(E746,食材マスタ!$C$10:$C$309,0)),""))</f>
        <v/>
      </c>
      <c r="J746" s="15" t="str">
        <f t="shared" si="55"/>
        <v/>
      </c>
      <c r="K746" s="20"/>
      <c r="L746" s="8" t="str">
        <f t="shared" si="56"/>
        <v/>
      </c>
      <c r="M746" s="9"/>
      <c r="N746" s="13" t="str">
        <f t="shared" si="57"/>
        <v/>
      </c>
      <c r="O746" s="22" t="str">
        <f t="shared" ca="1" si="58"/>
        <v/>
      </c>
      <c r="P746" s="17" t="str">
        <f t="shared" si="59"/>
        <v/>
      </c>
      <c r="Q746" s="11"/>
      <c r="R746" s="19"/>
      <c r="S746" s="19"/>
      <c r="U746">
        <f ca="1">IF(AND(ISNUMBER(O746),O746&lt;=設定!$C$4),1,0)</f>
        <v>0</v>
      </c>
      <c r="V746" t="str">
        <f ca="1">IF(U746=1,SUM($U$10:U746),"")</f>
        <v/>
      </c>
    </row>
    <row r="747" spans="2:22">
      <c r="B747" s="8" t="str">
        <f>IF(C747="","",COUNT($C$10:C747))</f>
        <v/>
      </c>
      <c r="C747" s="20"/>
      <c r="D747" s="11"/>
      <c r="E747" s="9"/>
      <c r="F747" s="21" t="str">
        <f>IF(E747="","",IFERROR(INDEX(食材マスタ!$D$10:$D$309,MATCH(E747,食材マスタ!$C$10:$C$309,0)),"※コード未登録"))</f>
        <v/>
      </c>
      <c r="G747" s="16"/>
      <c r="H747" s="8" t="str">
        <f>IF(E747="","",IFERROR(INDEX(食材マスタ!$H$10:$H$309,MATCH(E747,食材マスタ!$C$10:$C$309,0)),""))</f>
        <v/>
      </c>
      <c r="I747" s="15" t="str">
        <f>IF(E747="","",IFERROR(INDEX(食材マスタ!$K$10:$K$309,MATCH(E747,食材マスタ!$C$10:$C$309,0)),""))</f>
        <v/>
      </c>
      <c r="J747" s="15" t="str">
        <f t="shared" si="55"/>
        <v/>
      </c>
      <c r="K747" s="20"/>
      <c r="L747" s="8" t="str">
        <f t="shared" si="56"/>
        <v/>
      </c>
      <c r="M747" s="9"/>
      <c r="N747" s="13" t="str">
        <f t="shared" si="57"/>
        <v/>
      </c>
      <c r="O747" s="22" t="str">
        <f t="shared" ca="1" si="58"/>
        <v/>
      </c>
      <c r="P747" s="17" t="str">
        <f t="shared" si="59"/>
        <v/>
      </c>
      <c r="Q747" s="11"/>
      <c r="R747" s="19"/>
      <c r="S747" s="19"/>
      <c r="U747">
        <f ca="1">IF(AND(ISNUMBER(O747),O747&lt;=設定!$C$4),1,0)</f>
        <v>0</v>
      </c>
      <c r="V747" t="str">
        <f ca="1">IF(U747=1,SUM($U$10:U747),"")</f>
        <v/>
      </c>
    </row>
    <row r="748" spans="2:22">
      <c r="B748" s="8" t="str">
        <f>IF(C748="","",COUNT($C$10:C748))</f>
        <v/>
      </c>
      <c r="C748" s="20"/>
      <c r="D748" s="11"/>
      <c r="E748" s="9"/>
      <c r="F748" s="21" t="str">
        <f>IF(E748="","",IFERROR(INDEX(食材マスタ!$D$10:$D$309,MATCH(E748,食材マスタ!$C$10:$C$309,0)),"※コード未登録"))</f>
        <v/>
      </c>
      <c r="G748" s="16"/>
      <c r="H748" s="8" t="str">
        <f>IF(E748="","",IFERROR(INDEX(食材マスタ!$H$10:$H$309,MATCH(E748,食材マスタ!$C$10:$C$309,0)),""))</f>
        <v/>
      </c>
      <c r="I748" s="15" t="str">
        <f>IF(E748="","",IFERROR(INDEX(食材マスタ!$K$10:$K$309,MATCH(E748,食材マスタ!$C$10:$C$309,0)),""))</f>
        <v/>
      </c>
      <c r="J748" s="15" t="str">
        <f t="shared" si="55"/>
        <v/>
      </c>
      <c r="K748" s="20"/>
      <c r="L748" s="8" t="str">
        <f t="shared" si="56"/>
        <v/>
      </c>
      <c r="M748" s="9"/>
      <c r="N748" s="13" t="str">
        <f t="shared" si="57"/>
        <v/>
      </c>
      <c r="O748" s="22" t="str">
        <f t="shared" ca="1" si="58"/>
        <v/>
      </c>
      <c r="P748" s="17" t="str">
        <f t="shared" si="59"/>
        <v/>
      </c>
      <c r="Q748" s="11"/>
      <c r="R748" s="19"/>
      <c r="S748" s="19"/>
      <c r="U748">
        <f ca="1">IF(AND(ISNUMBER(O748),O748&lt;=設定!$C$4),1,0)</f>
        <v>0</v>
      </c>
      <c r="V748" t="str">
        <f ca="1">IF(U748=1,SUM($U$10:U748),"")</f>
        <v/>
      </c>
    </row>
    <row r="749" spans="2:22">
      <c r="B749" s="8" t="str">
        <f>IF(C749="","",COUNT($C$10:C749))</f>
        <v/>
      </c>
      <c r="C749" s="20"/>
      <c r="D749" s="11"/>
      <c r="E749" s="9"/>
      <c r="F749" s="21" t="str">
        <f>IF(E749="","",IFERROR(INDEX(食材マスタ!$D$10:$D$309,MATCH(E749,食材マスタ!$C$10:$C$309,0)),"※コード未登録"))</f>
        <v/>
      </c>
      <c r="G749" s="16"/>
      <c r="H749" s="8" t="str">
        <f>IF(E749="","",IFERROR(INDEX(食材マスタ!$H$10:$H$309,MATCH(E749,食材マスタ!$C$10:$C$309,0)),""))</f>
        <v/>
      </c>
      <c r="I749" s="15" t="str">
        <f>IF(E749="","",IFERROR(INDEX(食材マスタ!$K$10:$K$309,MATCH(E749,食材マスタ!$C$10:$C$309,0)),""))</f>
        <v/>
      </c>
      <c r="J749" s="15" t="str">
        <f t="shared" si="55"/>
        <v/>
      </c>
      <c r="K749" s="20"/>
      <c r="L749" s="8" t="str">
        <f t="shared" si="56"/>
        <v/>
      </c>
      <c r="M749" s="9"/>
      <c r="N749" s="13" t="str">
        <f t="shared" si="57"/>
        <v/>
      </c>
      <c r="O749" s="22" t="str">
        <f t="shared" ca="1" si="58"/>
        <v/>
      </c>
      <c r="P749" s="17" t="str">
        <f t="shared" si="59"/>
        <v/>
      </c>
      <c r="Q749" s="11"/>
      <c r="R749" s="19"/>
      <c r="S749" s="19"/>
      <c r="U749">
        <f ca="1">IF(AND(ISNUMBER(O749),O749&lt;=設定!$C$4),1,0)</f>
        <v>0</v>
      </c>
      <c r="V749" t="str">
        <f ca="1">IF(U749=1,SUM($U$10:U749),"")</f>
        <v/>
      </c>
    </row>
    <row r="750" spans="2:22">
      <c r="B750" s="8" t="str">
        <f>IF(C750="","",COUNT($C$10:C750))</f>
        <v/>
      </c>
      <c r="C750" s="20"/>
      <c r="D750" s="11"/>
      <c r="E750" s="9"/>
      <c r="F750" s="21" t="str">
        <f>IF(E750="","",IFERROR(INDEX(食材マスタ!$D$10:$D$309,MATCH(E750,食材マスタ!$C$10:$C$309,0)),"※コード未登録"))</f>
        <v/>
      </c>
      <c r="G750" s="16"/>
      <c r="H750" s="8" t="str">
        <f>IF(E750="","",IFERROR(INDEX(食材マスタ!$H$10:$H$309,MATCH(E750,食材マスタ!$C$10:$C$309,0)),""))</f>
        <v/>
      </c>
      <c r="I750" s="15" t="str">
        <f>IF(E750="","",IFERROR(INDEX(食材マスタ!$K$10:$K$309,MATCH(E750,食材マスタ!$C$10:$C$309,0)),""))</f>
        <v/>
      </c>
      <c r="J750" s="15" t="str">
        <f t="shared" si="55"/>
        <v/>
      </c>
      <c r="K750" s="20"/>
      <c r="L750" s="8" t="str">
        <f t="shared" si="56"/>
        <v/>
      </c>
      <c r="M750" s="9"/>
      <c r="N750" s="13" t="str">
        <f t="shared" si="57"/>
        <v/>
      </c>
      <c r="O750" s="22" t="str">
        <f t="shared" ca="1" si="58"/>
        <v/>
      </c>
      <c r="P750" s="17" t="str">
        <f t="shared" si="59"/>
        <v/>
      </c>
      <c r="Q750" s="11"/>
      <c r="R750" s="19"/>
      <c r="S750" s="19"/>
      <c r="U750">
        <f ca="1">IF(AND(ISNUMBER(O750),O750&lt;=設定!$C$4),1,0)</f>
        <v>0</v>
      </c>
      <c r="V750" t="str">
        <f ca="1">IF(U750=1,SUM($U$10:U750),"")</f>
        <v/>
      </c>
    </row>
    <row r="751" spans="2:22">
      <c r="B751" s="8" t="str">
        <f>IF(C751="","",COUNT($C$10:C751))</f>
        <v/>
      </c>
      <c r="C751" s="20"/>
      <c r="D751" s="11"/>
      <c r="E751" s="9"/>
      <c r="F751" s="21" t="str">
        <f>IF(E751="","",IFERROR(INDEX(食材マスタ!$D$10:$D$309,MATCH(E751,食材マスタ!$C$10:$C$309,0)),"※コード未登録"))</f>
        <v/>
      </c>
      <c r="G751" s="16"/>
      <c r="H751" s="8" t="str">
        <f>IF(E751="","",IFERROR(INDEX(食材マスタ!$H$10:$H$309,MATCH(E751,食材マスタ!$C$10:$C$309,0)),""))</f>
        <v/>
      </c>
      <c r="I751" s="15" t="str">
        <f>IF(E751="","",IFERROR(INDEX(食材マスタ!$K$10:$K$309,MATCH(E751,食材マスタ!$C$10:$C$309,0)),""))</f>
        <v/>
      </c>
      <c r="J751" s="15" t="str">
        <f t="shared" si="55"/>
        <v/>
      </c>
      <c r="K751" s="20"/>
      <c r="L751" s="8" t="str">
        <f t="shared" si="56"/>
        <v/>
      </c>
      <c r="M751" s="9"/>
      <c r="N751" s="13" t="str">
        <f t="shared" si="57"/>
        <v/>
      </c>
      <c r="O751" s="22" t="str">
        <f t="shared" ca="1" si="58"/>
        <v/>
      </c>
      <c r="P751" s="17" t="str">
        <f t="shared" si="59"/>
        <v/>
      </c>
      <c r="Q751" s="11"/>
      <c r="R751" s="19"/>
      <c r="S751" s="19"/>
      <c r="U751">
        <f ca="1">IF(AND(ISNUMBER(O751),O751&lt;=設定!$C$4),1,0)</f>
        <v>0</v>
      </c>
      <c r="V751" t="str">
        <f ca="1">IF(U751=1,SUM($U$10:U751),"")</f>
        <v/>
      </c>
    </row>
    <row r="752" spans="2:22">
      <c r="B752" s="8" t="str">
        <f>IF(C752="","",COUNT($C$10:C752))</f>
        <v/>
      </c>
      <c r="C752" s="20"/>
      <c r="D752" s="11"/>
      <c r="E752" s="9"/>
      <c r="F752" s="21" t="str">
        <f>IF(E752="","",IFERROR(INDEX(食材マスタ!$D$10:$D$309,MATCH(E752,食材マスタ!$C$10:$C$309,0)),"※コード未登録"))</f>
        <v/>
      </c>
      <c r="G752" s="16"/>
      <c r="H752" s="8" t="str">
        <f>IF(E752="","",IFERROR(INDEX(食材マスタ!$H$10:$H$309,MATCH(E752,食材マスタ!$C$10:$C$309,0)),""))</f>
        <v/>
      </c>
      <c r="I752" s="15" t="str">
        <f>IF(E752="","",IFERROR(INDEX(食材マスタ!$K$10:$K$309,MATCH(E752,食材マスタ!$C$10:$C$309,0)),""))</f>
        <v/>
      </c>
      <c r="J752" s="15" t="str">
        <f t="shared" si="55"/>
        <v/>
      </c>
      <c r="K752" s="20"/>
      <c r="L752" s="8" t="str">
        <f t="shared" si="56"/>
        <v/>
      </c>
      <c r="M752" s="9"/>
      <c r="N752" s="13" t="str">
        <f t="shared" si="57"/>
        <v/>
      </c>
      <c r="O752" s="22" t="str">
        <f t="shared" ca="1" si="58"/>
        <v/>
      </c>
      <c r="P752" s="17" t="str">
        <f t="shared" si="59"/>
        <v/>
      </c>
      <c r="Q752" s="11"/>
      <c r="R752" s="19"/>
      <c r="S752" s="19"/>
      <c r="U752">
        <f ca="1">IF(AND(ISNUMBER(O752),O752&lt;=設定!$C$4),1,0)</f>
        <v>0</v>
      </c>
      <c r="V752" t="str">
        <f ca="1">IF(U752=1,SUM($U$10:U752),"")</f>
        <v/>
      </c>
    </row>
    <row r="753" spans="2:22">
      <c r="B753" s="8" t="str">
        <f>IF(C753="","",COUNT($C$10:C753))</f>
        <v/>
      </c>
      <c r="C753" s="20"/>
      <c r="D753" s="11"/>
      <c r="E753" s="9"/>
      <c r="F753" s="21" t="str">
        <f>IF(E753="","",IFERROR(INDEX(食材マスタ!$D$10:$D$309,MATCH(E753,食材マスタ!$C$10:$C$309,0)),"※コード未登録"))</f>
        <v/>
      </c>
      <c r="G753" s="16"/>
      <c r="H753" s="8" t="str">
        <f>IF(E753="","",IFERROR(INDEX(食材マスタ!$H$10:$H$309,MATCH(E753,食材マスタ!$C$10:$C$309,0)),""))</f>
        <v/>
      </c>
      <c r="I753" s="15" t="str">
        <f>IF(E753="","",IFERROR(INDEX(食材マスタ!$K$10:$K$309,MATCH(E753,食材マスタ!$C$10:$C$309,0)),""))</f>
        <v/>
      </c>
      <c r="J753" s="15" t="str">
        <f t="shared" si="55"/>
        <v/>
      </c>
      <c r="K753" s="20"/>
      <c r="L753" s="8" t="str">
        <f t="shared" si="56"/>
        <v/>
      </c>
      <c r="M753" s="9"/>
      <c r="N753" s="13" t="str">
        <f t="shared" si="57"/>
        <v/>
      </c>
      <c r="O753" s="22" t="str">
        <f t="shared" ca="1" si="58"/>
        <v/>
      </c>
      <c r="P753" s="17" t="str">
        <f t="shared" si="59"/>
        <v/>
      </c>
      <c r="Q753" s="11"/>
      <c r="R753" s="19"/>
      <c r="S753" s="19"/>
      <c r="U753">
        <f ca="1">IF(AND(ISNUMBER(O753),O753&lt;=設定!$C$4),1,0)</f>
        <v>0</v>
      </c>
      <c r="V753" t="str">
        <f ca="1">IF(U753=1,SUM($U$10:U753),"")</f>
        <v/>
      </c>
    </row>
    <row r="754" spans="2:22">
      <c r="B754" s="8" t="str">
        <f>IF(C754="","",COUNT($C$10:C754))</f>
        <v/>
      </c>
      <c r="C754" s="20"/>
      <c r="D754" s="11"/>
      <c r="E754" s="9"/>
      <c r="F754" s="21" t="str">
        <f>IF(E754="","",IFERROR(INDEX(食材マスタ!$D$10:$D$309,MATCH(E754,食材マスタ!$C$10:$C$309,0)),"※コード未登録"))</f>
        <v/>
      </c>
      <c r="G754" s="16"/>
      <c r="H754" s="8" t="str">
        <f>IF(E754="","",IFERROR(INDEX(食材マスタ!$H$10:$H$309,MATCH(E754,食材マスタ!$C$10:$C$309,0)),""))</f>
        <v/>
      </c>
      <c r="I754" s="15" t="str">
        <f>IF(E754="","",IFERROR(INDEX(食材マスタ!$K$10:$K$309,MATCH(E754,食材マスタ!$C$10:$C$309,0)),""))</f>
        <v/>
      </c>
      <c r="J754" s="15" t="str">
        <f t="shared" si="55"/>
        <v/>
      </c>
      <c r="K754" s="20"/>
      <c r="L754" s="8" t="str">
        <f t="shared" si="56"/>
        <v/>
      </c>
      <c r="M754" s="9"/>
      <c r="N754" s="13" t="str">
        <f t="shared" si="57"/>
        <v/>
      </c>
      <c r="O754" s="22" t="str">
        <f t="shared" ca="1" si="58"/>
        <v/>
      </c>
      <c r="P754" s="17" t="str">
        <f t="shared" si="59"/>
        <v/>
      </c>
      <c r="Q754" s="11"/>
      <c r="R754" s="19"/>
      <c r="S754" s="19"/>
      <c r="U754">
        <f ca="1">IF(AND(ISNUMBER(O754),O754&lt;=設定!$C$4),1,0)</f>
        <v>0</v>
      </c>
      <c r="V754" t="str">
        <f ca="1">IF(U754=1,SUM($U$10:U754),"")</f>
        <v/>
      </c>
    </row>
    <row r="755" spans="2:22">
      <c r="B755" s="8" t="str">
        <f>IF(C755="","",COUNT($C$10:C755))</f>
        <v/>
      </c>
      <c r="C755" s="20"/>
      <c r="D755" s="11"/>
      <c r="E755" s="9"/>
      <c r="F755" s="21" t="str">
        <f>IF(E755="","",IFERROR(INDEX(食材マスタ!$D$10:$D$309,MATCH(E755,食材マスタ!$C$10:$C$309,0)),"※コード未登録"))</f>
        <v/>
      </c>
      <c r="G755" s="16"/>
      <c r="H755" s="8" t="str">
        <f>IF(E755="","",IFERROR(INDEX(食材マスタ!$H$10:$H$309,MATCH(E755,食材マスタ!$C$10:$C$309,0)),""))</f>
        <v/>
      </c>
      <c r="I755" s="15" t="str">
        <f>IF(E755="","",IFERROR(INDEX(食材マスタ!$K$10:$K$309,MATCH(E755,食材マスタ!$C$10:$C$309,0)),""))</f>
        <v/>
      </c>
      <c r="J755" s="15" t="str">
        <f t="shared" si="55"/>
        <v/>
      </c>
      <c r="K755" s="20"/>
      <c r="L755" s="8" t="str">
        <f t="shared" si="56"/>
        <v/>
      </c>
      <c r="M755" s="9"/>
      <c r="N755" s="13" t="str">
        <f t="shared" si="57"/>
        <v/>
      </c>
      <c r="O755" s="22" t="str">
        <f t="shared" ca="1" si="58"/>
        <v/>
      </c>
      <c r="P755" s="17" t="str">
        <f t="shared" si="59"/>
        <v/>
      </c>
      <c r="Q755" s="11"/>
      <c r="R755" s="19"/>
      <c r="S755" s="19"/>
      <c r="U755">
        <f ca="1">IF(AND(ISNUMBER(O755),O755&lt;=設定!$C$4),1,0)</f>
        <v>0</v>
      </c>
      <c r="V755" t="str">
        <f ca="1">IF(U755=1,SUM($U$10:U755),"")</f>
        <v/>
      </c>
    </row>
    <row r="756" spans="2:22">
      <c r="B756" s="8" t="str">
        <f>IF(C756="","",COUNT($C$10:C756))</f>
        <v/>
      </c>
      <c r="C756" s="20"/>
      <c r="D756" s="11"/>
      <c r="E756" s="9"/>
      <c r="F756" s="21" t="str">
        <f>IF(E756="","",IFERROR(INDEX(食材マスタ!$D$10:$D$309,MATCH(E756,食材マスタ!$C$10:$C$309,0)),"※コード未登録"))</f>
        <v/>
      </c>
      <c r="G756" s="16"/>
      <c r="H756" s="8" t="str">
        <f>IF(E756="","",IFERROR(INDEX(食材マスタ!$H$10:$H$309,MATCH(E756,食材マスタ!$C$10:$C$309,0)),""))</f>
        <v/>
      </c>
      <c r="I756" s="15" t="str">
        <f>IF(E756="","",IFERROR(INDEX(食材マスタ!$K$10:$K$309,MATCH(E756,食材マスタ!$C$10:$C$309,0)),""))</f>
        <v/>
      </c>
      <c r="J756" s="15" t="str">
        <f t="shared" si="55"/>
        <v/>
      </c>
      <c r="K756" s="20"/>
      <c r="L756" s="8" t="str">
        <f t="shared" si="56"/>
        <v/>
      </c>
      <c r="M756" s="9"/>
      <c r="N756" s="13" t="str">
        <f t="shared" si="57"/>
        <v/>
      </c>
      <c r="O756" s="22" t="str">
        <f t="shared" ca="1" si="58"/>
        <v/>
      </c>
      <c r="P756" s="17" t="str">
        <f t="shared" si="59"/>
        <v/>
      </c>
      <c r="Q756" s="11"/>
      <c r="R756" s="19"/>
      <c r="S756" s="19"/>
      <c r="U756">
        <f ca="1">IF(AND(ISNUMBER(O756),O756&lt;=設定!$C$4),1,0)</f>
        <v>0</v>
      </c>
      <c r="V756" t="str">
        <f ca="1">IF(U756=1,SUM($U$10:U756),"")</f>
        <v/>
      </c>
    </row>
    <row r="757" spans="2:22">
      <c r="B757" s="8" t="str">
        <f>IF(C757="","",COUNT($C$10:C757))</f>
        <v/>
      </c>
      <c r="C757" s="20"/>
      <c r="D757" s="11"/>
      <c r="E757" s="9"/>
      <c r="F757" s="21" t="str">
        <f>IF(E757="","",IFERROR(INDEX(食材マスタ!$D$10:$D$309,MATCH(E757,食材マスタ!$C$10:$C$309,0)),"※コード未登録"))</f>
        <v/>
      </c>
      <c r="G757" s="16"/>
      <c r="H757" s="8" t="str">
        <f>IF(E757="","",IFERROR(INDEX(食材マスタ!$H$10:$H$309,MATCH(E757,食材マスタ!$C$10:$C$309,0)),""))</f>
        <v/>
      </c>
      <c r="I757" s="15" t="str">
        <f>IF(E757="","",IFERROR(INDEX(食材マスタ!$K$10:$K$309,MATCH(E757,食材マスタ!$C$10:$C$309,0)),""))</f>
        <v/>
      </c>
      <c r="J757" s="15" t="str">
        <f t="shared" si="55"/>
        <v/>
      </c>
      <c r="K757" s="20"/>
      <c r="L757" s="8" t="str">
        <f t="shared" si="56"/>
        <v/>
      </c>
      <c r="M757" s="9"/>
      <c r="N757" s="13" t="str">
        <f t="shared" si="57"/>
        <v/>
      </c>
      <c r="O757" s="22" t="str">
        <f t="shared" ca="1" si="58"/>
        <v/>
      </c>
      <c r="P757" s="17" t="str">
        <f t="shared" si="59"/>
        <v/>
      </c>
      <c r="Q757" s="11"/>
      <c r="R757" s="19"/>
      <c r="S757" s="19"/>
      <c r="U757">
        <f ca="1">IF(AND(ISNUMBER(O757),O757&lt;=設定!$C$4),1,0)</f>
        <v>0</v>
      </c>
      <c r="V757" t="str">
        <f ca="1">IF(U757=1,SUM($U$10:U757),"")</f>
        <v/>
      </c>
    </row>
    <row r="758" spans="2:22">
      <c r="B758" s="8" t="str">
        <f>IF(C758="","",COUNT($C$10:C758))</f>
        <v/>
      </c>
      <c r="C758" s="20"/>
      <c r="D758" s="11"/>
      <c r="E758" s="9"/>
      <c r="F758" s="21" t="str">
        <f>IF(E758="","",IFERROR(INDEX(食材マスタ!$D$10:$D$309,MATCH(E758,食材マスタ!$C$10:$C$309,0)),"※コード未登録"))</f>
        <v/>
      </c>
      <c r="G758" s="16"/>
      <c r="H758" s="8" t="str">
        <f>IF(E758="","",IFERROR(INDEX(食材マスタ!$H$10:$H$309,MATCH(E758,食材マスタ!$C$10:$C$309,0)),""))</f>
        <v/>
      </c>
      <c r="I758" s="15" t="str">
        <f>IF(E758="","",IFERROR(INDEX(食材マスタ!$K$10:$K$309,MATCH(E758,食材マスタ!$C$10:$C$309,0)),""))</f>
        <v/>
      </c>
      <c r="J758" s="15" t="str">
        <f t="shared" si="55"/>
        <v/>
      </c>
      <c r="K758" s="20"/>
      <c r="L758" s="8" t="str">
        <f t="shared" si="56"/>
        <v/>
      </c>
      <c r="M758" s="9"/>
      <c r="N758" s="13" t="str">
        <f t="shared" si="57"/>
        <v/>
      </c>
      <c r="O758" s="22" t="str">
        <f t="shared" ca="1" si="58"/>
        <v/>
      </c>
      <c r="P758" s="17" t="str">
        <f t="shared" si="59"/>
        <v/>
      </c>
      <c r="Q758" s="11"/>
      <c r="R758" s="19"/>
      <c r="S758" s="19"/>
      <c r="U758">
        <f ca="1">IF(AND(ISNUMBER(O758),O758&lt;=設定!$C$4),1,0)</f>
        <v>0</v>
      </c>
      <c r="V758" t="str">
        <f ca="1">IF(U758=1,SUM($U$10:U758),"")</f>
        <v/>
      </c>
    </row>
    <row r="759" spans="2:22">
      <c r="B759" s="8" t="str">
        <f>IF(C759="","",COUNT($C$10:C759))</f>
        <v/>
      </c>
      <c r="C759" s="20"/>
      <c r="D759" s="11"/>
      <c r="E759" s="9"/>
      <c r="F759" s="21" t="str">
        <f>IF(E759="","",IFERROR(INDEX(食材マスタ!$D$10:$D$309,MATCH(E759,食材マスタ!$C$10:$C$309,0)),"※コード未登録"))</f>
        <v/>
      </c>
      <c r="G759" s="16"/>
      <c r="H759" s="8" t="str">
        <f>IF(E759="","",IFERROR(INDEX(食材マスタ!$H$10:$H$309,MATCH(E759,食材マスタ!$C$10:$C$309,0)),""))</f>
        <v/>
      </c>
      <c r="I759" s="15" t="str">
        <f>IF(E759="","",IFERROR(INDEX(食材マスタ!$K$10:$K$309,MATCH(E759,食材マスタ!$C$10:$C$309,0)),""))</f>
        <v/>
      </c>
      <c r="J759" s="15" t="str">
        <f t="shared" si="55"/>
        <v/>
      </c>
      <c r="K759" s="20"/>
      <c r="L759" s="8" t="str">
        <f t="shared" si="56"/>
        <v/>
      </c>
      <c r="M759" s="9"/>
      <c r="N759" s="13" t="str">
        <f t="shared" si="57"/>
        <v/>
      </c>
      <c r="O759" s="22" t="str">
        <f t="shared" ca="1" si="58"/>
        <v/>
      </c>
      <c r="P759" s="17" t="str">
        <f t="shared" si="59"/>
        <v/>
      </c>
      <c r="Q759" s="11"/>
      <c r="R759" s="19"/>
      <c r="S759" s="19"/>
      <c r="U759">
        <f ca="1">IF(AND(ISNUMBER(O759),O759&lt;=設定!$C$4),1,0)</f>
        <v>0</v>
      </c>
      <c r="V759" t="str">
        <f ca="1">IF(U759=1,SUM($U$10:U759),"")</f>
        <v/>
      </c>
    </row>
    <row r="760" spans="2:22">
      <c r="B760" s="8" t="str">
        <f>IF(C760="","",COUNT($C$10:C760))</f>
        <v/>
      </c>
      <c r="C760" s="20"/>
      <c r="D760" s="11"/>
      <c r="E760" s="9"/>
      <c r="F760" s="21" t="str">
        <f>IF(E760="","",IFERROR(INDEX(食材マスタ!$D$10:$D$309,MATCH(E760,食材マスタ!$C$10:$C$309,0)),"※コード未登録"))</f>
        <v/>
      </c>
      <c r="G760" s="16"/>
      <c r="H760" s="8" t="str">
        <f>IF(E760="","",IFERROR(INDEX(食材マスタ!$H$10:$H$309,MATCH(E760,食材マスタ!$C$10:$C$309,0)),""))</f>
        <v/>
      </c>
      <c r="I760" s="15" t="str">
        <f>IF(E760="","",IFERROR(INDEX(食材マスタ!$K$10:$K$309,MATCH(E760,食材マスタ!$C$10:$C$309,0)),""))</f>
        <v/>
      </c>
      <c r="J760" s="15" t="str">
        <f t="shared" si="55"/>
        <v/>
      </c>
      <c r="K760" s="20"/>
      <c r="L760" s="8" t="str">
        <f t="shared" si="56"/>
        <v/>
      </c>
      <c r="M760" s="9"/>
      <c r="N760" s="13" t="str">
        <f t="shared" si="57"/>
        <v/>
      </c>
      <c r="O760" s="22" t="str">
        <f t="shared" ca="1" si="58"/>
        <v/>
      </c>
      <c r="P760" s="17" t="str">
        <f t="shared" si="59"/>
        <v/>
      </c>
      <c r="Q760" s="11"/>
      <c r="R760" s="19"/>
      <c r="S760" s="19"/>
      <c r="U760">
        <f ca="1">IF(AND(ISNUMBER(O760),O760&lt;=設定!$C$4),1,0)</f>
        <v>0</v>
      </c>
      <c r="V760" t="str">
        <f ca="1">IF(U760=1,SUM($U$10:U760),"")</f>
        <v/>
      </c>
    </row>
    <row r="761" spans="2:22">
      <c r="B761" s="8" t="str">
        <f>IF(C761="","",COUNT($C$10:C761))</f>
        <v/>
      </c>
      <c r="C761" s="20"/>
      <c r="D761" s="11"/>
      <c r="E761" s="9"/>
      <c r="F761" s="21" t="str">
        <f>IF(E761="","",IFERROR(INDEX(食材マスタ!$D$10:$D$309,MATCH(E761,食材マスタ!$C$10:$C$309,0)),"※コード未登録"))</f>
        <v/>
      </c>
      <c r="G761" s="16"/>
      <c r="H761" s="8" t="str">
        <f>IF(E761="","",IFERROR(INDEX(食材マスタ!$H$10:$H$309,MATCH(E761,食材マスタ!$C$10:$C$309,0)),""))</f>
        <v/>
      </c>
      <c r="I761" s="15" t="str">
        <f>IF(E761="","",IFERROR(INDEX(食材マスタ!$K$10:$K$309,MATCH(E761,食材マスタ!$C$10:$C$309,0)),""))</f>
        <v/>
      </c>
      <c r="J761" s="15" t="str">
        <f t="shared" si="55"/>
        <v/>
      </c>
      <c r="K761" s="20"/>
      <c r="L761" s="8" t="str">
        <f t="shared" si="56"/>
        <v/>
      </c>
      <c r="M761" s="9"/>
      <c r="N761" s="13" t="str">
        <f t="shared" si="57"/>
        <v/>
      </c>
      <c r="O761" s="22" t="str">
        <f t="shared" ca="1" si="58"/>
        <v/>
      </c>
      <c r="P761" s="17" t="str">
        <f t="shared" si="59"/>
        <v/>
      </c>
      <c r="Q761" s="11"/>
      <c r="R761" s="19"/>
      <c r="S761" s="19"/>
      <c r="U761">
        <f ca="1">IF(AND(ISNUMBER(O761),O761&lt;=設定!$C$4),1,0)</f>
        <v>0</v>
      </c>
      <c r="V761" t="str">
        <f ca="1">IF(U761=1,SUM($U$10:U761),"")</f>
        <v/>
      </c>
    </row>
    <row r="762" spans="2:22">
      <c r="B762" s="8" t="str">
        <f>IF(C762="","",COUNT($C$10:C762))</f>
        <v/>
      </c>
      <c r="C762" s="20"/>
      <c r="D762" s="11"/>
      <c r="E762" s="9"/>
      <c r="F762" s="21" t="str">
        <f>IF(E762="","",IFERROR(INDEX(食材マスタ!$D$10:$D$309,MATCH(E762,食材マスタ!$C$10:$C$309,0)),"※コード未登録"))</f>
        <v/>
      </c>
      <c r="G762" s="16"/>
      <c r="H762" s="8" t="str">
        <f>IF(E762="","",IFERROR(INDEX(食材マスタ!$H$10:$H$309,MATCH(E762,食材マスタ!$C$10:$C$309,0)),""))</f>
        <v/>
      </c>
      <c r="I762" s="15" t="str">
        <f>IF(E762="","",IFERROR(INDEX(食材マスタ!$K$10:$K$309,MATCH(E762,食材マスタ!$C$10:$C$309,0)),""))</f>
        <v/>
      </c>
      <c r="J762" s="15" t="str">
        <f t="shared" si="55"/>
        <v/>
      </c>
      <c r="K762" s="20"/>
      <c r="L762" s="8" t="str">
        <f t="shared" si="56"/>
        <v/>
      </c>
      <c r="M762" s="9"/>
      <c r="N762" s="13" t="str">
        <f t="shared" si="57"/>
        <v/>
      </c>
      <c r="O762" s="22" t="str">
        <f t="shared" ca="1" si="58"/>
        <v/>
      </c>
      <c r="P762" s="17" t="str">
        <f t="shared" si="59"/>
        <v/>
      </c>
      <c r="Q762" s="11"/>
      <c r="R762" s="19"/>
      <c r="S762" s="19"/>
      <c r="U762">
        <f ca="1">IF(AND(ISNUMBER(O762),O762&lt;=設定!$C$4),1,0)</f>
        <v>0</v>
      </c>
      <c r="V762" t="str">
        <f ca="1">IF(U762=1,SUM($U$10:U762),"")</f>
        <v/>
      </c>
    </row>
    <row r="763" spans="2:22">
      <c r="B763" s="8" t="str">
        <f>IF(C763="","",COUNT($C$10:C763))</f>
        <v/>
      </c>
      <c r="C763" s="20"/>
      <c r="D763" s="11"/>
      <c r="E763" s="9"/>
      <c r="F763" s="21" t="str">
        <f>IF(E763="","",IFERROR(INDEX(食材マスタ!$D$10:$D$309,MATCH(E763,食材マスタ!$C$10:$C$309,0)),"※コード未登録"))</f>
        <v/>
      </c>
      <c r="G763" s="16"/>
      <c r="H763" s="8" t="str">
        <f>IF(E763="","",IFERROR(INDEX(食材マスタ!$H$10:$H$309,MATCH(E763,食材マスタ!$C$10:$C$309,0)),""))</f>
        <v/>
      </c>
      <c r="I763" s="15" t="str">
        <f>IF(E763="","",IFERROR(INDEX(食材マスタ!$K$10:$K$309,MATCH(E763,食材マスタ!$C$10:$C$309,0)),""))</f>
        <v/>
      </c>
      <c r="J763" s="15" t="str">
        <f t="shared" si="55"/>
        <v/>
      </c>
      <c r="K763" s="20"/>
      <c r="L763" s="8" t="str">
        <f t="shared" si="56"/>
        <v/>
      </c>
      <c r="M763" s="9"/>
      <c r="N763" s="13" t="str">
        <f t="shared" si="57"/>
        <v/>
      </c>
      <c r="O763" s="22" t="str">
        <f t="shared" ca="1" si="58"/>
        <v/>
      </c>
      <c r="P763" s="17" t="str">
        <f t="shared" si="59"/>
        <v/>
      </c>
      <c r="Q763" s="11"/>
      <c r="R763" s="19"/>
      <c r="S763" s="19"/>
      <c r="U763">
        <f ca="1">IF(AND(ISNUMBER(O763),O763&lt;=設定!$C$4),1,0)</f>
        <v>0</v>
      </c>
      <c r="V763" t="str">
        <f ca="1">IF(U763=1,SUM($U$10:U763),"")</f>
        <v/>
      </c>
    </row>
    <row r="764" spans="2:22">
      <c r="B764" s="8" t="str">
        <f>IF(C764="","",COUNT($C$10:C764))</f>
        <v/>
      </c>
      <c r="C764" s="20"/>
      <c r="D764" s="11"/>
      <c r="E764" s="9"/>
      <c r="F764" s="21" t="str">
        <f>IF(E764="","",IFERROR(INDEX(食材マスタ!$D$10:$D$309,MATCH(E764,食材マスタ!$C$10:$C$309,0)),"※コード未登録"))</f>
        <v/>
      </c>
      <c r="G764" s="16"/>
      <c r="H764" s="8" t="str">
        <f>IF(E764="","",IFERROR(INDEX(食材マスタ!$H$10:$H$309,MATCH(E764,食材マスタ!$C$10:$C$309,0)),""))</f>
        <v/>
      </c>
      <c r="I764" s="15" t="str">
        <f>IF(E764="","",IFERROR(INDEX(食材マスタ!$K$10:$K$309,MATCH(E764,食材マスタ!$C$10:$C$309,0)),""))</f>
        <v/>
      </c>
      <c r="J764" s="15" t="str">
        <f t="shared" si="55"/>
        <v/>
      </c>
      <c r="K764" s="20"/>
      <c r="L764" s="8" t="str">
        <f t="shared" si="56"/>
        <v/>
      </c>
      <c r="M764" s="9"/>
      <c r="N764" s="13" t="str">
        <f t="shared" si="57"/>
        <v/>
      </c>
      <c r="O764" s="22" t="str">
        <f t="shared" ca="1" si="58"/>
        <v/>
      </c>
      <c r="P764" s="17" t="str">
        <f t="shared" si="59"/>
        <v/>
      </c>
      <c r="Q764" s="11"/>
      <c r="R764" s="19"/>
      <c r="S764" s="19"/>
      <c r="U764">
        <f ca="1">IF(AND(ISNUMBER(O764),O764&lt;=設定!$C$4),1,0)</f>
        <v>0</v>
      </c>
      <c r="V764" t="str">
        <f ca="1">IF(U764=1,SUM($U$10:U764),"")</f>
        <v/>
      </c>
    </row>
    <row r="765" spans="2:22">
      <c r="B765" s="8" t="str">
        <f>IF(C765="","",COUNT($C$10:C765))</f>
        <v/>
      </c>
      <c r="C765" s="20"/>
      <c r="D765" s="11"/>
      <c r="E765" s="9"/>
      <c r="F765" s="21" t="str">
        <f>IF(E765="","",IFERROR(INDEX(食材マスタ!$D$10:$D$309,MATCH(E765,食材マスタ!$C$10:$C$309,0)),"※コード未登録"))</f>
        <v/>
      </c>
      <c r="G765" s="16"/>
      <c r="H765" s="8" t="str">
        <f>IF(E765="","",IFERROR(INDEX(食材マスタ!$H$10:$H$309,MATCH(E765,食材マスタ!$C$10:$C$309,0)),""))</f>
        <v/>
      </c>
      <c r="I765" s="15" t="str">
        <f>IF(E765="","",IFERROR(INDEX(食材マスタ!$K$10:$K$309,MATCH(E765,食材マスタ!$C$10:$C$309,0)),""))</f>
        <v/>
      </c>
      <c r="J765" s="15" t="str">
        <f t="shared" si="55"/>
        <v/>
      </c>
      <c r="K765" s="20"/>
      <c r="L765" s="8" t="str">
        <f t="shared" si="56"/>
        <v/>
      </c>
      <c r="M765" s="9"/>
      <c r="N765" s="13" t="str">
        <f t="shared" si="57"/>
        <v/>
      </c>
      <c r="O765" s="22" t="str">
        <f t="shared" ca="1" si="58"/>
        <v/>
      </c>
      <c r="P765" s="17" t="str">
        <f t="shared" si="59"/>
        <v/>
      </c>
      <c r="Q765" s="11"/>
      <c r="R765" s="19"/>
      <c r="S765" s="19"/>
      <c r="U765">
        <f ca="1">IF(AND(ISNUMBER(O765),O765&lt;=設定!$C$4),1,0)</f>
        <v>0</v>
      </c>
      <c r="V765" t="str">
        <f ca="1">IF(U765=1,SUM($U$10:U765),"")</f>
        <v/>
      </c>
    </row>
    <row r="766" spans="2:22">
      <c r="B766" s="8" t="str">
        <f>IF(C766="","",COUNT($C$10:C766))</f>
        <v/>
      </c>
      <c r="C766" s="20"/>
      <c r="D766" s="11"/>
      <c r="E766" s="9"/>
      <c r="F766" s="21" t="str">
        <f>IF(E766="","",IFERROR(INDEX(食材マスタ!$D$10:$D$309,MATCH(E766,食材マスタ!$C$10:$C$309,0)),"※コード未登録"))</f>
        <v/>
      </c>
      <c r="G766" s="16"/>
      <c r="H766" s="8" t="str">
        <f>IF(E766="","",IFERROR(INDEX(食材マスタ!$H$10:$H$309,MATCH(E766,食材マスタ!$C$10:$C$309,0)),""))</f>
        <v/>
      </c>
      <c r="I766" s="15" t="str">
        <f>IF(E766="","",IFERROR(INDEX(食材マスタ!$K$10:$K$309,MATCH(E766,食材マスタ!$C$10:$C$309,0)),""))</f>
        <v/>
      </c>
      <c r="J766" s="15" t="str">
        <f t="shared" si="55"/>
        <v/>
      </c>
      <c r="K766" s="20"/>
      <c r="L766" s="8" t="str">
        <f t="shared" si="56"/>
        <v/>
      </c>
      <c r="M766" s="9"/>
      <c r="N766" s="13" t="str">
        <f t="shared" si="57"/>
        <v/>
      </c>
      <c r="O766" s="22" t="str">
        <f t="shared" ca="1" si="58"/>
        <v/>
      </c>
      <c r="P766" s="17" t="str">
        <f t="shared" si="59"/>
        <v/>
      </c>
      <c r="Q766" s="11"/>
      <c r="R766" s="19"/>
      <c r="S766" s="19"/>
      <c r="U766">
        <f ca="1">IF(AND(ISNUMBER(O766),O766&lt;=設定!$C$4),1,0)</f>
        <v>0</v>
      </c>
      <c r="V766" t="str">
        <f ca="1">IF(U766=1,SUM($U$10:U766),"")</f>
        <v/>
      </c>
    </row>
    <row r="767" spans="2:22">
      <c r="B767" s="8" t="str">
        <f>IF(C767="","",COUNT($C$10:C767))</f>
        <v/>
      </c>
      <c r="C767" s="20"/>
      <c r="D767" s="11"/>
      <c r="E767" s="9"/>
      <c r="F767" s="21" t="str">
        <f>IF(E767="","",IFERROR(INDEX(食材マスタ!$D$10:$D$309,MATCH(E767,食材マスタ!$C$10:$C$309,0)),"※コード未登録"))</f>
        <v/>
      </c>
      <c r="G767" s="16"/>
      <c r="H767" s="8" t="str">
        <f>IF(E767="","",IFERROR(INDEX(食材マスタ!$H$10:$H$309,MATCH(E767,食材マスタ!$C$10:$C$309,0)),""))</f>
        <v/>
      </c>
      <c r="I767" s="15" t="str">
        <f>IF(E767="","",IFERROR(INDEX(食材マスタ!$K$10:$K$309,MATCH(E767,食材マスタ!$C$10:$C$309,0)),""))</f>
        <v/>
      </c>
      <c r="J767" s="15" t="str">
        <f t="shared" si="55"/>
        <v/>
      </c>
      <c r="K767" s="20"/>
      <c r="L767" s="8" t="str">
        <f t="shared" si="56"/>
        <v/>
      </c>
      <c r="M767" s="9"/>
      <c r="N767" s="13" t="str">
        <f t="shared" si="57"/>
        <v/>
      </c>
      <c r="O767" s="22" t="str">
        <f t="shared" ca="1" si="58"/>
        <v/>
      </c>
      <c r="P767" s="17" t="str">
        <f t="shared" si="59"/>
        <v/>
      </c>
      <c r="Q767" s="11"/>
      <c r="R767" s="19"/>
      <c r="S767" s="19"/>
      <c r="U767">
        <f ca="1">IF(AND(ISNUMBER(O767),O767&lt;=設定!$C$4),1,0)</f>
        <v>0</v>
      </c>
      <c r="V767" t="str">
        <f ca="1">IF(U767=1,SUM($U$10:U767),"")</f>
        <v/>
      </c>
    </row>
    <row r="768" spans="2:22">
      <c r="B768" s="8" t="str">
        <f>IF(C768="","",COUNT($C$10:C768))</f>
        <v/>
      </c>
      <c r="C768" s="20"/>
      <c r="D768" s="11"/>
      <c r="E768" s="9"/>
      <c r="F768" s="21" t="str">
        <f>IF(E768="","",IFERROR(INDEX(食材マスタ!$D$10:$D$309,MATCH(E768,食材マスタ!$C$10:$C$309,0)),"※コード未登録"))</f>
        <v/>
      </c>
      <c r="G768" s="16"/>
      <c r="H768" s="8" t="str">
        <f>IF(E768="","",IFERROR(INDEX(食材マスタ!$H$10:$H$309,MATCH(E768,食材マスタ!$C$10:$C$309,0)),""))</f>
        <v/>
      </c>
      <c r="I768" s="15" t="str">
        <f>IF(E768="","",IFERROR(INDEX(食材マスタ!$K$10:$K$309,MATCH(E768,食材マスタ!$C$10:$C$309,0)),""))</f>
        <v/>
      </c>
      <c r="J768" s="15" t="str">
        <f t="shared" si="55"/>
        <v/>
      </c>
      <c r="K768" s="20"/>
      <c r="L768" s="8" t="str">
        <f t="shared" si="56"/>
        <v/>
      </c>
      <c r="M768" s="9"/>
      <c r="N768" s="13" t="str">
        <f t="shared" si="57"/>
        <v/>
      </c>
      <c r="O768" s="22" t="str">
        <f t="shared" ca="1" si="58"/>
        <v/>
      </c>
      <c r="P768" s="17" t="str">
        <f t="shared" si="59"/>
        <v/>
      </c>
      <c r="Q768" s="11"/>
      <c r="R768" s="19"/>
      <c r="S768" s="19"/>
      <c r="U768">
        <f ca="1">IF(AND(ISNUMBER(O768),O768&lt;=設定!$C$4),1,0)</f>
        <v>0</v>
      </c>
      <c r="V768" t="str">
        <f ca="1">IF(U768=1,SUM($U$10:U768),"")</f>
        <v/>
      </c>
    </row>
    <row r="769" spans="2:22">
      <c r="B769" s="8" t="str">
        <f>IF(C769="","",COUNT($C$10:C769))</f>
        <v/>
      </c>
      <c r="C769" s="20"/>
      <c r="D769" s="11"/>
      <c r="E769" s="9"/>
      <c r="F769" s="21" t="str">
        <f>IF(E769="","",IFERROR(INDEX(食材マスタ!$D$10:$D$309,MATCH(E769,食材マスタ!$C$10:$C$309,0)),"※コード未登録"))</f>
        <v/>
      </c>
      <c r="G769" s="16"/>
      <c r="H769" s="8" t="str">
        <f>IF(E769="","",IFERROR(INDEX(食材マスタ!$H$10:$H$309,MATCH(E769,食材マスタ!$C$10:$C$309,0)),""))</f>
        <v/>
      </c>
      <c r="I769" s="15" t="str">
        <f>IF(E769="","",IFERROR(INDEX(食材マスタ!$K$10:$K$309,MATCH(E769,食材マスタ!$C$10:$C$309,0)),""))</f>
        <v/>
      </c>
      <c r="J769" s="15" t="str">
        <f t="shared" si="55"/>
        <v/>
      </c>
      <c r="K769" s="20"/>
      <c r="L769" s="8" t="str">
        <f t="shared" si="56"/>
        <v/>
      </c>
      <c r="M769" s="9"/>
      <c r="N769" s="13" t="str">
        <f t="shared" si="57"/>
        <v/>
      </c>
      <c r="O769" s="22" t="str">
        <f t="shared" ca="1" si="58"/>
        <v/>
      </c>
      <c r="P769" s="17" t="str">
        <f t="shared" si="59"/>
        <v/>
      </c>
      <c r="Q769" s="11"/>
      <c r="R769" s="19"/>
      <c r="S769" s="19"/>
      <c r="U769">
        <f ca="1">IF(AND(ISNUMBER(O769),O769&lt;=設定!$C$4),1,0)</f>
        <v>0</v>
      </c>
      <c r="V769" t="str">
        <f ca="1">IF(U769=1,SUM($U$10:U769),"")</f>
        <v/>
      </c>
    </row>
    <row r="770" spans="2:22">
      <c r="B770" s="8" t="str">
        <f>IF(C770="","",COUNT($C$10:C770))</f>
        <v/>
      </c>
      <c r="C770" s="20"/>
      <c r="D770" s="11"/>
      <c r="E770" s="9"/>
      <c r="F770" s="21" t="str">
        <f>IF(E770="","",IFERROR(INDEX(食材マスタ!$D$10:$D$309,MATCH(E770,食材マスタ!$C$10:$C$309,0)),"※コード未登録"))</f>
        <v/>
      </c>
      <c r="G770" s="16"/>
      <c r="H770" s="8" t="str">
        <f>IF(E770="","",IFERROR(INDEX(食材マスタ!$H$10:$H$309,MATCH(E770,食材マスタ!$C$10:$C$309,0)),""))</f>
        <v/>
      </c>
      <c r="I770" s="15" t="str">
        <f>IF(E770="","",IFERROR(INDEX(食材マスタ!$K$10:$K$309,MATCH(E770,食材マスタ!$C$10:$C$309,0)),""))</f>
        <v/>
      </c>
      <c r="J770" s="15" t="str">
        <f t="shared" si="55"/>
        <v/>
      </c>
      <c r="K770" s="20"/>
      <c r="L770" s="8" t="str">
        <f t="shared" si="56"/>
        <v/>
      </c>
      <c r="M770" s="9"/>
      <c r="N770" s="13" t="str">
        <f t="shared" si="57"/>
        <v/>
      </c>
      <c r="O770" s="22" t="str">
        <f t="shared" ca="1" si="58"/>
        <v/>
      </c>
      <c r="P770" s="17" t="str">
        <f t="shared" si="59"/>
        <v/>
      </c>
      <c r="Q770" s="11"/>
      <c r="R770" s="19"/>
      <c r="S770" s="19"/>
      <c r="U770">
        <f ca="1">IF(AND(ISNUMBER(O770),O770&lt;=設定!$C$4),1,0)</f>
        <v>0</v>
      </c>
      <c r="V770" t="str">
        <f ca="1">IF(U770=1,SUM($U$10:U770),"")</f>
        <v/>
      </c>
    </row>
    <row r="771" spans="2:22">
      <c r="B771" s="8" t="str">
        <f>IF(C771="","",COUNT($C$10:C771))</f>
        <v/>
      </c>
      <c r="C771" s="20"/>
      <c r="D771" s="11"/>
      <c r="E771" s="9"/>
      <c r="F771" s="21" t="str">
        <f>IF(E771="","",IFERROR(INDEX(食材マスタ!$D$10:$D$309,MATCH(E771,食材マスタ!$C$10:$C$309,0)),"※コード未登録"))</f>
        <v/>
      </c>
      <c r="G771" s="16"/>
      <c r="H771" s="8" t="str">
        <f>IF(E771="","",IFERROR(INDEX(食材マスタ!$H$10:$H$309,MATCH(E771,食材マスタ!$C$10:$C$309,0)),""))</f>
        <v/>
      </c>
      <c r="I771" s="15" t="str">
        <f>IF(E771="","",IFERROR(INDEX(食材マスタ!$K$10:$K$309,MATCH(E771,食材マスタ!$C$10:$C$309,0)),""))</f>
        <v/>
      </c>
      <c r="J771" s="15" t="str">
        <f t="shared" si="55"/>
        <v/>
      </c>
      <c r="K771" s="20"/>
      <c r="L771" s="8" t="str">
        <f t="shared" si="56"/>
        <v/>
      </c>
      <c r="M771" s="9"/>
      <c r="N771" s="13" t="str">
        <f t="shared" si="57"/>
        <v/>
      </c>
      <c r="O771" s="22" t="str">
        <f t="shared" ca="1" si="58"/>
        <v/>
      </c>
      <c r="P771" s="17" t="str">
        <f t="shared" si="59"/>
        <v/>
      </c>
      <c r="Q771" s="11"/>
      <c r="R771" s="19"/>
      <c r="S771" s="19"/>
      <c r="U771">
        <f ca="1">IF(AND(ISNUMBER(O771),O771&lt;=設定!$C$4),1,0)</f>
        <v>0</v>
      </c>
      <c r="V771" t="str">
        <f ca="1">IF(U771=1,SUM($U$10:U771),"")</f>
        <v/>
      </c>
    </row>
    <row r="772" spans="2:22">
      <c r="B772" s="8" t="str">
        <f>IF(C772="","",COUNT($C$10:C772))</f>
        <v/>
      </c>
      <c r="C772" s="20"/>
      <c r="D772" s="11"/>
      <c r="E772" s="9"/>
      <c r="F772" s="21" t="str">
        <f>IF(E772="","",IFERROR(INDEX(食材マスタ!$D$10:$D$309,MATCH(E772,食材マスタ!$C$10:$C$309,0)),"※コード未登録"))</f>
        <v/>
      </c>
      <c r="G772" s="16"/>
      <c r="H772" s="8" t="str">
        <f>IF(E772="","",IFERROR(INDEX(食材マスタ!$H$10:$H$309,MATCH(E772,食材マスタ!$C$10:$C$309,0)),""))</f>
        <v/>
      </c>
      <c r="I772" s="15" t="str">
        <f>IF(E772="","",IFERROR(INDEX(食材マスタ!$K$10:$K$309,MATCH(E772,食材マスタ!$C$10:$C$309,0)),""))</f>
        <v/>
      </c>
      <c r="J772" s="15" t="str">
        <f t="shared" si="55"/>
        <v/>
      </c>
      <c r="K772" s="20"/>
      <c r="L772" s="8" t="str">
        <f t="shared" si="56"/>
        <v/>
      </c>
      <c r="M772" s="9"/>
      <c r="N772" s="13" t="str">
        <f t="shared" si="57"/>
        <v/>
      </c>
      <c r="O772" s="22" t="str">
        <f t="shared" ca="1" si="58"/>
        <v/>
      </c>
      <c r="P772" s="17" t="str">
        <f t="shared" si="59"/>
        <v/>
      </c>
      <c r="Q772" s="11"/>
      <c r="R772" s="19"/>
      <c r="S772" s="19"/>
      <c r="U772">
        <f ca="1">IF(AND(ISNUMBER(O772),O772&lt;=設定!$C$4),1,0)</f>
        <v>0</v>
      </c>
      <c r="V772" t="str">
        <f ca="1">IF(U772=1,SUM($U$10:U772),"")</f>
        <v/>
      </c>
    </row>
    <row r="773" spans="2:22">
      <c r="B773" s="8" t="str">
        <f>IF(C773="","",COUNT($C$10:C773))</f>
        <v/>
      </c>
      <c r="C773" s="20"/>
      <c r="D773" s="11"/>
      <c r="E773" s="9"/>
      <c r="F773" s="21" t="str">
        <f>IF(E773="","",IFERROR(INDEX(食材マスタ!$D$10:$D$309,MATCH(E773,食材マスタ!$C$10:$C$309,0)),"※コード未登録"))</f>
        <v/>
      </c>
      <c r="G773" s="16"/>
      <c r="H773" s="8" t="str">
        <f>IF(E773="","",IFERROR(INDEX(食材マスタ!$H$10:$H$309,MATCH(E773,食材マスタ!$C$10:$C$309,0)),""))</f>
        <v/>
      </c>
      <c r="I773" s="15" t="str">
        <f>IF(E773="","",IFERROR(INDEX(食材マスタ!$K$10:$K$309,MATCH(E773,食材マスタ!$C$10:$C$309,0)),""))</f>
        <v/>
      </c>
      <c r="J773" s="15" t="str">
        <f t="shared" si="55"/>
        <v/>
      </c>
      <c r="K773" s="20"/>
      <c r="L773" s="8" t="str">
        <f t="shared" si="56"/>
        <v/>
      </c>
      <c r="M773" s="9"/>
      <c r="N773" s="13" t="str">
        <f t="shared" si="57"/>
        <v/>
      </c>
      <c r="O773" s="22" t="str">
        <f t="shared" ca="1" si="58"/>
        <v/>
      </c>
      <c r="P773" s="17" t="str">
        <f t="shared" si="59"/>
        <v/>
      </c>
      <c r="Q773" s="11"/>
      <c r="R773" s="19"/>
      <c r="S773" s="19"/>
      <c r="U773">
        <f ca="1">IF(AND(ISNUMBER(O773),O773&lt;=設定!$C$4),1,0)</f>
        <v>0</v>
      </c>
      <c r="V773" t="str">
        <f ca="1">IF(U773=1,SUM($U$10:U773),"")</f>
        <v/>
      </c>
    </row>
    <row r="774" spans="2:22">
      <c r="B774" s="8" t="str">
        <f>IF(C774="","",COUNT($C$10:C774))</f>
        <v/>
      </c>
      <c r="C774" s="20"/>
      <c r="D774" s="11"/>
      <c r="E774" s="9"/>
      <c r="F774" s="21" t="str">
        <f>IF(E774="","",IFERROR(INDEX(食材マスタ!$D$10:$D$309,MATCH(E774,食材マスタ!$C$10:$C$309,0)),"※コード未登録"))</f>
        <v/>
      </c>
      <c r="G774" s="16"/>
      <c r="H774" s="8" t="str">
        <f>IF(E774="","",IFERROR(INDEX(食材マスタ!$H$10:$H$309,MATCH(E774,食材マスタ!$C$10:$C$309,0)),""))</f>
        <v/>
      </c>
      <c r="I774" s="15" t="str">
        <f>IF(E774="","",IFERROR(INDEX(食材マスタ!$K$10:$K$309,MATCH(E774,食材マスタ!$C$10:$C$309,0)),""))</f>
        <v/>
      </c>
      <c r="J774" s="15" t="str">
        <f t="shared" si="55"/>
        <v/>
      </c>
      <c r="K774" s="20"/>
      <c r="L774" s="8" t="str">
        <f t="shared" si="56"/>
        <v/>
      </c>
      <c r="M774" s="9"/>
      <c r="N774" s="13" t="str">
        <f t="shared" si="57"/>
        <v/>
      </c>
      <c r="O774" s="22" t="str">
        <f t="shared" ca="1" si="58"/>
        <v/>
      </c>
      <c r="P774" s="17" t="str">
        <f t="shared" si="59"/>
        <v/>
      </c>
      <c r="Q774" s="11"/>
      <c r="R774" s="19"/>
      <c r="S774" s="19"/>
      <c r="U774">
        <f ca="1">IF(AND(ISNUMBER(O774),O774&lt;=設定!$C$4),1,0)</f>
        <v>0</v>
      </c>
      <c r="V774" t="str">
        <f ca="1">IF(U774=1,SUM($U$10:U774),"")</f>
        <v/>
      </c>
    </row>
    <row r="775" spans="2:22">
      <c r="B775" s="8" t="str">
        <f>IF(C775="","",COUNT($C$10:C775))</f>
        <v/>
      </c>
      <c r="C775" s="20"/>
      <c r="D775" s="11"/>
      <c r="E775" s="9"/>
      <c r="F775" s="21" t="str">
        <f>IF(E775="","",IFERROR(INDEX(食材マスタ!$D$10:$D$309,MATCH(E775,食材マスタ!$C$10:$C$309,0)),"※コード未登録"))</f>
        <v/>
      </c>
      <c r="G775" s="16"/>
      <c r="H775" s="8" t="str">
        <f>IF(E775="","",IFERROR(INDEX(食材マスタ!$H$10:$H$309,MATCH(E775,食材マスタ!$C$10:$C$309,0)),""))</f>
        <v/>
      </c>
      <c r="I775" s="15" t="str">
        <f>IF(E775="","",IFERROR(INDEX(食材マスタ!$K$10:$K$309,MATCH(E775,食材マスタ!$C$10:$C$309,0)),""))</f>
        <v/>
      </c>
      <c r="J775" s="15" t="str">
        <f t="shared" si="55"/>
        <v/>
      </c>
      <c r="K775" s="20"/>
      <c r="L775" s="8" t="str">
        <f t="shared" si="56"/>
        <v/>
      </c>
      <c r="M775" s="9"/>
      <c r="N775" s="13" t="str">
        <f t="shared" si="57"/>
        <v/>
      </c>
      <c r="O775" s="22" t="str">
        <f t="shared" ca="1" si="58"/>
        <v/>
      </c>
      <c r="P775" s="17" t="str">
        <f t="shared" si="59"/>
        <v/>
      </c>
      <c r="Q775" s="11"/>
      <c r="R775" s="19"/>
      <c r="S775" s="19"/>
      <c r="U775">
        <f ca="1">IF(AND(ISNUMBER(O775),O775&lt;=設定!$C$4),1,0)</f>
        <v>0</v>
      </c>
      <c r="V775" t="str">
        <f ca="1">IF(U775=1,SUM($U$10:U775),"")</f>
        <v/>
      </c>
    </row>
    <row r="776" spans="2:22">
      <c r="B776" s="8" t="str">
        <f>IF(C776="","",COUNT($C$10:C776))</f>
        <v/>
      </c>
      <c r="C776" s="20"/>
      <c r="D776" s="11"/>
      <c r="E776" s="9"/>
      <c r="F776" s="21" t="str">
        <f>IF(E776="","",IFERROR(INDEX(食材マスタ!$D$10:$D$309,MATCH(E776,食材マスタ!$C$10:$C$309,0)),"※コード未登録"))</f>
        <v/>
      </c>
      <c r="G776" s="16"/>
      <c r="H776" s="8" t="str">
        <f>IF(E776="","",IFERROR(INDEX(食材マスタ!$H$10:$H$309,MATCH(E776,食材マスタ!$C$10:$C$309,0)),""))</f>
        <v/>
      </c>
      <c r="I776" s="15" t="str">
        <f>IF(E776="","",IFERROR(INDEX(食材マスタ!$K$10:$K$309,MATCH(E776,食材マスタ!$C$10:$C$309,0)),""))</f>
        <v/>
      </c>
      <c r="J776" s="15" t="str">
        <f t="shared" si="55"/>
        <v/>
      </c>
      <c r="K776" s="20"/>
      <c r="L776" s="8" t="str">
        <f t="shared" si="56"/>
        <v/>
      </c>
      <c r="M776" s="9"/>
      <c r="N776" s="13" t="str">
        <f t="shared" si="57"/>
        <v/>
      </c>
      <c r="O776" s="22" t="str">
        <f t="shared" ca="1" si="58"/>
        <v/>
      </c>
      <c r="P776" s="17" t="str">
        <f t="shared" si="59"/>
        <v/>
      </c>
      <c r="Q776" s="11"/>
      <c r="R776" s="19"/>
      <c r="S776" s="19"/>
      <c r="U776">
        <f ca="1">IF(AND(ISNUMBER(O776),O776&lt;=設定!$C$4),1,0)</f>
        <v>0</v>
      </c>
      <c r="V776" t="str">
        <f ca="1">IF(U776=1,SUM($U$10:U776),"")</f>
        <v/>
      </c>
    </row>
    <row r="777" spans="2:22">
      <c r="B777" s="8" t="str">
        <f>IF(C777="","",COUNT($C$10:C777))</f>
        <v/>
      </c>
      <c r="C777" s="20"/>
      <c r="D777" s="11"/>
      <c r="E777" s="9"/>
      <c r="F777" s="21" t="str">
        <f>IF(E777="","",IFERROR(INDEX(食材マスタ!$D$10:$D$309,MATCH(E777,食材マスタ!$C$10:$C$309,0)),"※コード未登録"))</f>
        <v/>
      </c>
      <c r="G777" s="16"/>
      <c r="H777" s="8" t="str">
        <f>IF(E777="","",IFERROR(INDEX(食材マスタ!$H$10:$H$309,MATCH(E777,食材マスタ!$C$10:$C$309,0)),""))</f>
        <v/>
      </c>
      <c r="I777" s="15" t="str">
        <f>IF(E777="","",IFERROR(INDEX(食材マスタ!$K$10:$K$309,MATCH(E777,食材マスタ!$C$10:$C$309,0)),""))</f>
        <v/>
      </c>
      <c r="J777" s="15" t="str">
        <f t="shared" si="55"/>
        <v/>
      </c>
      <c r="K777" s="20"/>
      <c r="L777" s="8" t="str">
        <f t="shared" si="56"/>
        <v/>
      </c>
      <c r="M777" s="9"/>
      <c r="N777" s="13" t="str">
        <f t="shared" si="57"/>
        <v/>
      </c>
      <c r="O777" s="22" t="str">
        <f t="shared" ca="1" si="58"/>
        <v/>
      </c>
      <c r="P777" s="17" t="str">
        <f t="shared" si="59"/>
        <v/>
      </c>
      <c r="Q777" s="11"/>
      <c r="R777" s="19"/>
      <c r="S777" s="19"/>
      <c r="U777">
        <f ca="1">IF(AND(ISNUMBER(O777),O777&lt;=設定!$C$4),1,0)</f>
        <v>0</v>
      </c>
      <c r="V777" t="str">
        <f ca="1">IF(U777=1,SUM($U$10:U777),"")</f>
        <v/>
      </c>
    </row>
    <row r="778" spans="2:22">
      <c r="B778" s="8" t="str">
        <f>IF(C778="","",COUNT($C$10:C778))</f>
        <v/>
      </c>
      <c r="C778" s="20"/>
      <c r="D778" s="11"/>
      <c r="E778" s="9"/>
      <c r="F778" s="21" t="str">
        <f>IF(E778="","",IFERROR(INDEX(食材マスタ!$D$10:$D$309,MATCH(E778,食材マスタ!$C$10:$C$309,0)),"※コード未登録"))</f>
        <v/>
      </c>
      <c r="G778" s="16"/>
      <c r="H778" s="8" t="str">
        <f>IF(E778="","",IFERROR(INDEX(食材マスタ!$H$10:$H$309,MATCH(E778,食材マスタ!$C$10:$C$309,0)),""))</f>
        <v/>
      </c>
      <c r="I778" s="15" t="str">
        <f>IF(E778="","",IFERROR(INDEX(食材マスタ!$K$10:$K$309,MATCH(E778,食材マスタ!$C$10:$C$309,0)),""))</f>
        <v/>
      </c>
      <c r="J778" s="15" t="str">
        <f t="shared" ref="J778:J841" si="60">IF(OR(G778="",I778=""),"",ROUND(ABS(G778)*I778,0))</f>
        <v/>
      </c>
      <c r="K778" s="20"/>
      <c r="L778" s="8" t="str">
        <f t="shared" ref="L778:L841" si="61">IF(AND(D778="入庫",E778&lt;&gt;""),E778&amp;"-"&amp;TEXT(ROW()-9,"0000"),"")</f>
        <v/>
      </c>
      <c r="M778" s="9"/>
      <c r="N778" s="13" t="str">
        <f t="shared" ref="N778:N841" si="62">IF(L778="","",G778-SUMIFS($G$10:$G$1009,$M$10:$M$1009,L778,$D$10:$D$1009,"出庫")-SUMIFS($G$10:$G$1009,$M$10:$M$1009,L778,$D$10:$D$1009,"廃棄")+SUMIFS($G$10:$G$1009,$M$10:$M$1009,L778,$D$10:$D$1009,"棚卸調整"))</f>
        <v/>
      </c>
      <c r="O778" s="22" t="str">
        <f t="shared" ref="O778:O841" ca="1" si="63">IF(OR(L778="",K778=""),"",IF(N778&lt;=0,"",K778-TODAY()))</f>
        <v/>
      </c>
      <c r="P778" s="17" t="str">
        <f t="shared" ref="P778:P841" si="64">IF(E778="","",IF(F778="※コード未登録","コード未登録",IF(AND(OR(D778="出庫",D778="廃棄"),M778=""),"ロット未指定",IF(AND(M778&lt;&gt;"",LEFT(M778,LEN(E778)+1)&lt;&gt;E778&amp;"-"),"ロット違い",IF(AND(L778&lt;&gt;"",N778&lt;0),"ロット残マイナス","")))))</f>
        <v/>
      </c>
      <c r="Q778" s="11"/>
      <c r="R778" s="19"/>
      <c r="S778" s="19"/>
      <c r="U778">
        <f ca="1">IF(AND(ISNUMBER(O778),O778&lt;=設定!$C$4),1,0)</f>
        <v>0</v>
      </c>
      <c r="V778" t="str">
        <f ca="1">IF(U778=1,SUM($U$10:U778),"")</f>
        <v/>
      </c>
    </row>
    <row r="779" spans="2:22">
      <c r="B779" s="8" t="str">
        <f>IF(C779="","",COUNT($C$10:C779))</f>
        <v/>
      </c>
      <c r="C779" s="20"/>
      <c r="D779" s="11"/>
      <c r="E779" s="9"/>
      <c r="F779" s="21" t="str">
        <f>IF(E779="","",IFERROR(INDEX(食材マスタ!$D$10:$D$309,MATCH(E779,食材マスタ!$C$10:$C$309,0)),"※コード未登録"))</f>
        <v/>
      </c>
      <c r="G779" s="16"/>
      <c r="H779" s="8" t="str">
        <f>IF(E779="","",IFERROR(INDEX(食材マスタ!$H$10:$H$309,MATCH(E779,食材マスタ!$C$10:$C$309,0)),""))</f>
        <v/>
      </c>
      <c r="I779" s="15" t="str">
        <f>IF(E779="","",IFERROR(INDEX(食材マスタ!$K$10:$K$309,MATCH(E779,食材マスタ!$C$10:$C$309,0)),""))</f>
        <v/>
      </c>
      <c r="J779" s="15" t="str">
        <f t="shared" si="60"/>
        <v/>
      </c>
      <c r="K779" s="20"/>
      <c r="L779" s="8" t="str">
        <f t="shared" si="61"/>
        <v/>
      </c>
      <c r="M779" s="9"/>
      <c r="N779" s="13" t="str">
        <f t="shared" si="62"/>
        <v/>
      </c>
      <c r="O779" s="22" t="str">
        <f t="shared" ca="1" si="63"/>
        <v/>
      </c>
      <c r="P779" s="17" t="str">
        <f t="shared" si="64"/>
        <v/>
      </c>
      <c r="Q779" s="11"/>
      <c r="R779" s="19"/>
      <c r="S779" s="19"/>
      <c r="U779">
        <f ca="1">IF(AND(ISNUMBER(O779),O779&lt;=設定!$C$4),1,0)</f>
        <v>0</v>
      </c>
      <c r="V779" t="str">
        <f ca="1">IF(U779=1,SUM($U$10:U779),"")</f>
        <v/>
      </c>
    </row>
    <row r="780" spans="2:22">
      <c r="B780" s="8" t="str">
        <f>IF(C780="","",COUNT($C$10:C780))</f>
        <v/>
      </c>
      <c r="C780" s="20"/>
      <c r="D780" s="11"/>
      <c r="E780" s="9"/>
      <c r="F780" s="21" t="str">
        <f>IF(E780="","",IFERROR(INDEX(食材マスタ!$D$10:$D$309,MATCH(E780,食材マスタ!$C$10:$C$309,0)),"※コード未登録"))</f>
        <v/>
      </c>
      <c r="G780" s="16"/>
      <c r="H780" s="8" t="str">
        <f>IF(E780="","",IFERROR(INDEX(食材マスタ!$H$10:$H$309,MATCH(E780,食材マスタ!$C$10:$C$309,0)),""))</f>
        <v/>
      </c>
      <c r="I780" s="15" t="str">
        <f>IF(E780="","",IFERROR(INDEX(食材マスタ!$K$10:$K$309,MATCH(E780,食材マスタ!$C$10:$C$309,0)),""))</f>
        <v/>
      </c>
      <c r="J780" s="15" t="str">
        <f t="shared" si="60"/>
        <v/>
      </c>
      <c r="K780" s="20"/>
      <c r="L780" s="8" t="str">
        <f t="shared" si="61"/>
        <v/>
      </c>
      <c r="M780" s="9"/>
      <c r="N780" s="13" t="str">
        <f t="shared" si="62"/>
        <v/>
      </c>
      <c r="O780" s="22" t="str">
        <f t="shared" ca="1" si="63"/>
        <v/>
      </c>
      <c r="P780" s="17" t="str">
        <f t="shared" si="64"/>
        <v/>
      </c>
      <c r="Q780" s="11"/>
      <c r="R780" s="19"/>
      <c r="S780" s="19"/>
      <c r="U780">
        <f ca="1">IF(AND(ISNUMBER(O780),O780&lt;=設定!$C$4),1,0)</f>
        <v>0</v>
      </c>
      <c r="V780" t="str">
        <f ca="1">IF(U780=1,SUM($U$10:U780),"")</f>
        <v/>
      </c>
    </row>
    <row r="781" spans="2:22">
      <c r="B781" s="8" t="str">
        <f>IF(C781="","",COUNT($C$10:C781))</f>
        <v/>
      </c>
      <c r="C781" s="20"/>
      <c r="D781" s="11"/>
      <c r="E781" s="9"/>
      <c r="F781" s="21" t="str">
        <f>IF(E781="","",IFERROR(INDEX(食材マスタ!$D$10:$D$309,MATCH(E781,食材マスタ!$C$10:$C$309,0)),"※コード未登録"))</f>
        <v/>
      </c>
      <c r="G781" s="16"/>
      <c r="H781" s="8" t="str">
        <f>IF(E781="","",IFERROR(INDEX(食材マスタ!$H$10:$H$309,MATCH(E781,食材マスタ!$C$10:$C$309,0)),""))</f>
        <v/>
      </c>
      <c r="I781" s="15" t="str">
        <f>IF(E781="","",IFERROR(INDEX(食材マスタ!$K$10:$K$309,MATCH(E781,食材マスタ!$C$10:$C$309,0)),""))</f>
        <v/>
      </c>
      <c r="J781" s="15" t="str">
        <f t="shared" si="60"/>
        <v/>
      </c>
      <c r="K781" s="20"/>
      <c r="L781" s="8" t="str">
        <f t="shared" si="61"/>
        <v/>
      </c>
      <c r="M781" s="9"/>
      <c r="N781" s="13" t="str">
        <f t="shared" si="62"/>
        <v/>
      </c>
      <c r="O781" s="22" t="str">
        <f t="shared" ca="1" si="63"/>
        <v/>
      </c>
      <c r="P781" s="17" t="str">
        <f t="shared" si="64"/>
        <v/>
      </c>
      <c r="Q781" s="11"/>
      <c r="R781" s="19"/>
      <c r="S781" s="19"/>
      <c r="U781">
        <f ca="1">IF(AND(ISNUMBER(O781),O781&lt;=設定!$C$4),1,0)</f>
        <v>0</v>
      </c>
      <c r="V781" t="str">
        <f ca="1">IF(U781=1,SUM($U$10:U781),"")</f>
        <v/>
      </c>
    </row>
    <row r="782" spans="2:22">
      <c r="B782" s="8" t="str">
        <f>IF(C782="","",COUNT($C$10:C782))</f>
        <v/>
      </c>
      <c r="C782" s="20"/>
      <c r="D782" s="11"/>
      <c r="E782" s="9"/>
      <c r="F782" s="21" t="str">
        <f>IF(E782="","",IFERROR(INDEX(食材マスタ!$D$10:$D$309,MATCH(E782,食材マスタ!$C$10:$C$309,0)),"※コード未登録"))</f>
        <v/>
      </c>
      <c r="G782" s="16"/>
      <c r="H782" s="8" t="str">
        <f>IF(E782="","",IFERROR(INDEX(食材マスタ!$H$10:$H$309,MATCH(E782,食材マスタ!$C$10:$C$309,0)),""))</f>
        <v/>
      </c>
      <c r="I782" s="15" t="str">
        <f>IF(E782="","",IFERROR(INDEX(食材マスタ!$K$10:$K$309,MATCH(E782,食材マスタ!$C$10:$C$309,0)),""))</f>
        <v/>
      </c>
      <c r="J782" s="15" t="str">
        <f t="shared" si="60"/>
        <v/>
      </c>
      <c r="K782" s="20"/>
      <c r="L782" s="8" t="str">
        <f t="shared" si="61"/>
        <v/>
      </c>
      <c r="M782" s="9"/>
      <c r="N782" s="13" t="str">
        <f t="shared" si="62"/>
        <v/>
      </c>
      <c r="O782" s="22" t="str">
        <f t="shared" ca="1" si="63"/>
        <v/>
      </c>
      <c r="P782" s="17" t="str">
        <f t="shared" si="64"/>
        <v/>
      </c>
      <c r="Q782" s="11"/>
      <c r="R782" s="19"/>
      <c r="S782" s="19"/>
      <c r="U782">
        <f ca="1">IF(AND(ISNUMBER(O782),O782&lt;=設定!$C$4),1,0)</f>
        <v>0</v>
      </c>
      <c r="V782" t="str">
        <f ca="1">IF(U782=1,SUM($U$10:U782),"")</f>
        <v/>
      </c>
    </row>
    <row r="783" spans="2:22">
      <c r="B783" s="8" t="str">
        <f>IF(C783="","",COUNT($C$10:C783))</f>
        <v/>
      </c>
      <c r="C783" s="20"/>
      <c r="D783" s="11"/>
      <c r="E783" s="9"/>
      <c r="F783" s="21" t="str">
        <f>IF(E783="","",IFERROR(INDEX(食材マスタ!$D$10:$D$309,MATCH(E783,食材マスタ!$C$10:$C$309,0)),"※コード未登録"))</f>
        <v/>
      </c>
      <c r="G783" s="16"/>
      <c r="H783" s="8" t="str">
        <f>IF(E783="","",IFERROR(INDEX(食材マスタ!$H$10:$H$309,MATCH(E783,食材マスタ!$C$10:$C$309,0)),""))</f>
        <v/>
      </c>
      <c r="I783" s="15" t="str">
        <f>IF(E783="","",IFERROR(INDEX(食材マスタ!$K$10:$K$309,MATCH(E783,食材マスタ!$C$10:$C$309,0)),""))</f>
        <v/>
      </c>
      <c r="J783" s="15" t="str">
        <f t="shared" si="60"/>
        <v/>
      </c>
      <c r="K783" s="20"/>
      <c r="L783" s="8" t="str">
        <f t="shared" si="61"/>
        <v/>
      </c>
      <c r="M783" s="9"/>
      <c r="N783" s="13" t="str">
        <f t="shared" si="62"/>
        <v/>
      </c>
      <c r="O783" s="22" t="str">
        <f t="shared" ca="1" si="63"/>
        <v/>
      </c>
      <c r="P783" s="17" t="str">
        <f t="shared" si="64"/>
        <v/>
      </c>
      <c r="Q783" s="11"/>
      <c r="R783" s="19"/>
      <c r="S783" s="19"/>
      <c r="U783">
        <f ca="1">IF(AND(ISNUMBER(O783),O783&lt;=設定!$C$4),1,0)</f>
        <v>0</v>
      </c>
      <c r="V783" t="str">
        <f ca="1">IF(U783=1,SUM($U$10:U783),"")</f>
        <v/>
      </c>
    </row>
    <row r="784" spans="2:22">
      <c r="B784" s="8" t="str">
        <f>IF(C784="","",COUNT($C$10:C784))</f>
        <v/>
      </c>
      <c r="C784" s="20"/>
      <c r="D784" s="11"/>
      <c r="E784" s="9"/>
      <c r="F784" s="21" t="str">
        <f>IF(E784="","",IFERROR(INDEX(食材マスタ!$D$10:$D$309,MATCH(E784,食材マスタ!$C$10:$C$309,0)),"※コード未登録"))</f>
        <v/>
      </c>
      <c r="G784" s="16"/>
      <c r="H784" s="8" t="str">
        <f>IF(E784="","",IFERROR(INDEX(食材マスタ!$H$10:$H$309,MATCH(E784,食材マスタ!$C$10:$C$309,0)),""))</f>
        <v/>
      </c>
      <c r="I784" s="15" t="str">
        <f>IF(E784="","",IFERROR(INDEX(食材マスタ!$K$10:$K$309,MATCH(E784,食材マスタ!$C$10:$C$309,0)),""))</f>
        <v/>
      </c>
      <c r="J784" s="15" t="str">
        <f t="shared" si="60"/>
        <v/>
      </c>
      <c r="K784" s="20"/>
      <c r="L784" s="8" t="str">
        <f t="shared" si="61"/>
        <v/>
      </c>
      <c r="M784" s="9"/>
      <c r="N784" s="13" t="str">
        <f t="shared" si="62"/>
        <v/>
      </c>
      <c r="O784" s="22" t="str">
        <f t="shared" ca="1" si="63"/>
        <v/>
      </c>
      <c r="P784" s="17" t="str">
        <f t="shared" si="64"/>
        <v/>
      </c>
      <c r="Q784" s="11"/>
      <c r="R784" s="19"/>
      <c r="S784" s="19"/>
      <c r="U784">
        <f ca="1">IF(AND(ISNUMBER(O784),O784&lt;=設定!$C$4),1,0)</f>
        <v>0</v>
      </c>
      <c r="V784" t="str">
        <f ca="1">IF(U784=1,SUM($U$10:U784),"")</f>
        <v/>
      </c>
    </row>
    <row r="785" spans="2:22">
      <c r="B785" s="8" t="str">
        <f>IF(C785="","",COUNT($C$10:C785))</f>
        <v/>
      </c>
      <c r="C785" s="20"/>
      <c r="D785" s="11"/>
      <c r="E785" s="9"/>
      <c r="F785" s="21" t="str">
        <f>IF(E785="","",IFERROR(INDEX(食材マスタ!$D$10:$D$309,MATCH(E785,食材マスタ!$C$10:$C$309,0)),"※コード未登録"))</f>
        <v/>
      </c>
      <c r="G785" s="16"/>
      <c r="H785" s="8" t="str">
        <f>IF(E785="","",IFERROR(INDEX(食材マスタ!$H$10:$H$309,MATCH(E785,食材マスタ!$C$10:$C$309,0)),""))</f>
        <v/>
      </c>
      <c r="I785" s="15" t="str">
        <f>IF(E785="","",IFERROR(INDEX(食材マスタ!$K$10:$K$309,MATCH(E785,食材マスタ!$C$10:$C$309,0)),""))</f>
        <v/>
      </c>
      <c r="J785" s="15" t="str">
        <f t="shared" si="60"/>
        <v/>
      </c>
      <c r="K785" s="20"/>
      <c r="L785" s="8" t="str">
        <f t="shared" si="61"/>
        <v/>
      </c>
      <c r="M785" s="9"/>
      <c r="N785" s="13" t="str">
        <f t="shared" si="62"/>
        <v/>
      </c>
      <c r="O785" s="22" t="str">
        <f t="shared" ca="1" si="63"/>
        <v/>
      </c>
      <c r="P785" s="17" t="str">
        <f t="shared" si="64"/>
        <v/>
      </c>
      <c r="Q785" s="11"/>
      <c r="R785" s="19"/>
      <c r="S785" s="19"/>
      <c r="U785">
        <f ca="1">IF(AND(ISNUMBER(O785),O785&lt;=設定!$C$4),1,0)</f>
        <v>0</v>
      </c>
      <c r="V785" t="str">
        <f ca="1">IF(U785=1,SUM($U$10:U785),"")</f>
        <v/>
      </c>
    </row>
    <row r="786" spans="2:22">
      <c r="B786" s="8" t="str">
        <f>IF(C786="","",COUNT($C$10:C786))</f>
        <v/>
      </c>
      <c r="C786" s="20"/>
      <c r="D786" s="11"/>
      <c r="E786" s="9"/>
      <c r="F786" s="21" t="str">
        <f>IF(E786="","",IFERROR(INDEX(食材マスタ!$D$10:$D$309,MATCH(E786,食材マスタ!$C$10:$C$309,0)),"※コード未登録"))</f>
        <v/>
      </c>
      <c r="G786" s="16"/>
      <c r="H786" s="8" t="str">
        <f>IF(E786="","",IFERROR(INDEX(食材マスタ!$H$10:$H$309,MATCH(E786,食材マスタ!$C$10:$C$309,0)),""))</f>
        <v/>
      </c>
      <c r="I786" s="15" t="str">
        <f>IF(E786="","",IFERROR(INDEX(食材マスタ!$K$10:$K$309,MATCH(E786,食材マスタ!$C$10:$C$309,0)),""))</f>
        <v/>
      </c>
      <c r="J786" s="15" t="str">
        <f t="shared" si="60"/>
        <v/>
      </c>
      <c r="K786" s="20"/>
      <c r="L786" s="8" t="str">
        <f t="shared" si="61"/>
        <v/>
      </c>
      <c r="M786" s="9"/>
      <c r="N786" s="13" t="str">
        <f t="shared" si="62"/>
        <v/>
      </c>
      <c r="O786" s="22" t="str">
        <f t="shared" ca="1" si="63"/>
        <v/>
      </c>
      <c r="P786" s="17" t="str">
        <f t="shared" si="64"/>
        <v/>
      </c>
      <c r="Q786" s="11"/>
      <c r="R786" s="19"/>
      <c r="S786" s="19"/>
      <c r="U786">
        <f ca="1">IF(AND(ISNUMBER(O786),O786&lt;=設定!$C$4),1,0)</f>
        <v>0</v>
      </c>
      <c r="V786" t="str">
        <f ca="1">IF(U786=1,SUM($U$10:U786),"")</f>
        <v/>
      </c>
    </row>
    <row r="787" spans="2:22">
      <c r="B787" s="8" t="str">
        <f>IF(C787="","",COUNT($C$10:C787))</f>
        <v/>
      </c>
      <c r="C787" s="20"/>
      <c r="D787" s="11"/>
      <c r="E787" s="9"/>
      <c r="F787" s="21" t="str">
        <f>IF(E787="","",IFERROR(INDEX(食材マスタ!$D$10:$D$309,MATCH(E787,食材マスタ!$C$10:$C$309,0)),"※コード未登録"))</f>
        <v/>
      </c>
      <c r="G787" s="16"/>
      <c r="H787" s="8" t="str">
        <f>IF(E787="","",IFERROR(INDEX(食材マスタ!$H$10:$H$309,MATCH(E787,食材マスタ!$C$10:$C$309,0)),""))</f>
        <v/>
      </c>
      <c r="I787" s="15" t="str">
        <f>IF(E787="","",IFERROR(INDEX(食材マスタ!$K$10:$K$309,MATCH(E787,食材マスタ!$C$10:$C$309,0)),""))</f>
        <v/>
      </c>
      <c r="J787" s="15" t="str">
        <f t="shared" si="60"/>
        <v/>
      </c>
      <c r="K787" s="20"/>
      <c r="L787" s="8" t="str">
        <f t="shared" si="61"/>
        <v/>
      </c>
      <c r="M787" s="9"/>
      <c r="N787" s="13" t="str">
        <f t="shared" si="62"/>
        <v/>
      </c>
      <c r="O787" s="22" t="str">
        <f t="shared" ca="1" si="63"/>
        <v/>
      </c>
      <c r="P787" s="17" t="str">
        <f t="shared" si="64"/>
        <v/>
      </c>
      <c r="Q787" s="11"/>
      <c r="R787" s="19"/>
      <c r="S787" s="19"/>
      <c r="U787">
        <f ca="1">IF(AND(ISNUMBER(O787),O787&lt;=設定!$C$4),1,0)</f>
        <v>0</v>
      </c>
      <c r="V787" t="str">
        <f ca="1">IF(U787=1,SUM($U$10:U787),"")</f>
        <v/>
      </c>
    </row>
    <row r="788" spans="2:22">
      <c r="B788" s="8" t="str">
        <f>IF(C788="","",COUNT($C$10:C788))</f>
        <v/>
      </c>
      <c r="C788" s="20"/>
      <c r="D788" s="11"/>
      <c r="E788" s="9"/>
      <c r="F788" s="21" t="str">
        <f>IF(E788="","",IFERROR(INDEX(食材マスタ!$D$10:$D$309,MATCH(E788,食材マスタ!$C$10:$C$309,0)),"※コード未登録"))</f>
        <v/>
      </c>
      <c r="G788" s="16"/>
      <c r="H788" s="8" t="str">
        <f>IF(E788="","",IFERROR(INDEX(食材マスタ!$H$10:$H$309,MATCH(E788,食材マスタ!$C$10:$C$309,0)),""))</f>
        <v/>
      </c>
      <c r="I788" s="15" t="str">
        <f>IF(E788="","",IFERROR(INDEX(食材マスタ!$K$10:$K$309,MATCH(E788,食材マスタ!$C$10:$C$309,0)),""))</f>
        <v/>
      </c>
      <c r="J788" s="15" t="str">
        <f t="shared" si="60"/>
        <v/>
      </c>
      <c r="K788" s="20"/>
      <c r="L788" s="8" t="str">
        <f t="shared" si="61"/>
        <v/>
      </c>
      <c r="M788" s="9"/>
      <c r="N788" s="13" t="str">
        <f t="shared" si="62"/>
        <v/>
      </c>
      <c r="O788" s="22" t="str">
        <f t="shared" ca="1" si="63"/>
        <v/>
      </c>
      <c r="P788" s="17" t="str">
        <f t="shared" si="64"/>
        <v/>
      </c>
      <c r="Q788" s="11"/>
      <c r="R788" s="19"/>
      <c r="S788" s="19"/>
      <c r="U788">
        <f ca="1">IF(AND(ISNUMBER(O788),O788&lt;=設定!$C$4),1,0)</f>
        <v>0</v>
      </c>
      <c r="V788" t="str">
        <f ca="1">IF(U788=1,SUM($U$10:U788),"")</f>
        <v/>
      </c>
    </row>
    <row r="789" spans="2:22">
      <c r="B789" s="8" t="str">
        <f>IF(C789="","",COUNT($C$10:C789))</f>
        <v/>
      </c>
      <c r="C789" s="20"/>
      <c r="D789" s="11"/>
      <c r="E789" s="9"/>
      <c r="F789" s="21" t="str">
        <f>IF(E789="","",IFERROR(INDEX(食材マスタ!$D$10:$D$309,MATCH(E789,食材マスタ!$C$10:$C$309,0)),"※コード未登録"))</f>
        <v/>
      </c>
      <c r="G789" s="16"/>
      <c r="H789" s="8" t="str">
        <f>IF(E789="","",IFERROR(INDEX(食材マスタ!$H$10:$H$309,MATCH(E789,食材マスタ!$C$10:$C$309,0)),""))</f>
        <v/>
      </c>
      <c r="I789" s="15" t="str">
        <f>IF(E789="","",IFERROR(INDEX(食材マスタ!$K$10:$K$309,MATCH(E789,食材マスタ!$C$10:$C$309,0)),""))</f>
        <v/>
      </c>
      <c r="J789" s="15" t="str">
        <f t="shared" si="60"/>
        <v/>
      </c>
      <c r="K789" s="20"/>
      <c r="L789" s="8" t="str">
        <f t="shared" si="61"/>
        <v/>
      </c>
      <c r="M789" s="9"/>
      <c r="N789" s="13" t="str">
        <f t="shared" si="62"/>
        <v/>
      </c>
      <c r="O789" s="22" t="str">
        <f t="shared" ca="1" si="63"/>
        <v/>
      </c>
      <c r="P789" s="17" t="str">
        <f t="shared" si="64"/>
        <v/>
      </c>
      <c r="Q789" s="11"/>
      <c r="R789" s="19"/>
      <c r="S789" s="19"/>
      <c r="U789">
        <f ca="1">IF(AND(ISNUMBER(O789),O789&lt;=設定!$C$4),1,0)</f>
        <v>0</v>
      </c>
      <c r="V789" t="str">
        <f ca="1">IF(U789=1,SUM($U$10:U789),"")</f>
        <v/>
      </c>
    </row>
    <row r="790" spans="2:22">
      <c r="B790" s="8" t="str">
        <f>IF(C790="","",COUNT($C$10:C790))</f>
        <v/>
      </c>
      <c r="C790" s="20"/>
      <c r="D790" s="11"/>
      <c r="E790" s="9"/>
      <c r="F790" s="21" t="str">
        <f>IF(E790="","",IFERROR(INDEX(食材マスタ!$D$10:$D$309,MATCH(E790,食材マスタ!$C$10:$C$309,0)),"※コード未登録"))</f>
        <v/>
      </c>
      <c r="G790" s="16"/>
      <c r="H790" s="8" t="str">
        <f>IF(E790="","",IFERROR(INDEX(食材マスタ!$H$10:$H$309,MATCH(E790,食材マスタ!$C$10:$C$309,0)),""))</f>
        <v/>
      </c>
      <c r="I790" s="15" t="str">
        <f>IF(E790="","",IFERROR(INDEX(食材マスタ!$K$10:$K$309,MATCH(E790,食材マスタ!$C$10:$C$309,0)),""))</f>
        <v/>
      </c>
      <c r="J790" s="15" t="str">
        <f t="shared" si="60"/>
        <v/>
      </c>
      <c r="K790" s="20"/>
      <c r="L790" s="8" t="str">
        <f t="shared" si="61"/>
        <v/>
      </c>
      <c r="M790" s="9"/>
      <c r="N790" s="13" t="str">
        <f t="shared" si="62"/>
        <v/>
      </c>
      <c r="O790" s="22" t="str">
        <f t="shared" ca="1" si="63"/>
        <v/>
      </c>
      <c r="P790" s="17" t="str">
        <f t="shared" si="64"/>
        <v/>
      </c>
      <c r="Q790" s="11"/>
      <c r="R790" s="19"/>
      <c r="S790" s="19"/>
      <c r="U790">
        <f ca="1">IF(AND(ISNUMBER(O790),O790&lt;=設定!$C$4),1,0)</f>
        <v>0</v>
      </c>
      <c r="V790" t="str">
        <f ca="1">IF(U790=1,SUM($U$10:U790),"")</f>
        <v/>
      </c>
    </row>
    <row r="791" spans="2:22">
      <c r="B791" s="8" t="str">
        <f>IF(C791="","",COUNT($C$10:C791))</f>
        <v/>
      </c>
      <c r="C791" s="20"/>
      <c r="D791" s="11"/>
      <c r="E791" s="9"/>
      <c r="F791" s="21" t="str">
        <f>IF(E791="","",IFERROR(INDEX(食材マスタ!$D$10:$D$309,MATCH(E791,食材マスタ!$C$10:$C$309,0)),"※コード未登録"))</f>
        <v/>
      </c>
      <c r="G791" s="16"/>
      <c r="H791" s="8" t="str">
        <f>IF(E791="","",IFERROR(INDEX(食材マスタ!$H$10:$H$309,MATCH(E791,食材マスタ!$C$10:$C$309,0)),""))</f>
        <v/>
      </c>
      <c r="I791" s="15" t="str">
        <f>IF(E791="","",IFERROR(INDEX(食材マスタ!$K$10:$K$309,MATCH(E791,食材マスタ!$C$10:$C$309,0)),""))</f>
        <v/>
      </c>
      <c r="J791" s="15" t="str">
        <f t="shared" si="60"/>
        <v/>
      </c>
      <c r="K791" s="20"/>
      <c r="L791" s="8" t="str">
        <f t="shared" si="61"/>
        <v/>
      </c>
      <c r="M791" s="9"/>
      <c r="N791" s="13" t="str">
        <f t="shared" si="62"/>
        <v/>
      </c>
      <c r="O791" s="22" t="str">
        <f t="shared" ca="1" si="63"/>
        <v/>
      </c>
      <c r="P791" s="17" t="str">
        <f t="shared" si="64"/>
        <v/>
      </c>
      <c r="Q791" s="11"/>
      <c r="R791" s="19"/>
      <c r="S791" s="19"/>
      <c r="U791">
        <f ca="1">IF(AND(ISNUMBER(O791),O791&lt;=設定!$C$4),1,0)</f>
        <v>0</v>
      </c>
      <c r="V791" t="str">
        <f ca="1">IF(U791=1,SUM($U$10:U791),"")</f>
        <v/>
      </c>
    </row>
    <row r="792" spans="2:22">
      <c r="B792" s="8" t="str">
        <f>IF(C792="","",COUNT($C$10:C792))</f>
        <v/>
      </c>
      <c r="C792" s="20"/>
      <c r="D792" s="11"/>
      <c r="E792" s="9"/>
      <c r="F792" s="21" t="str">
        <f>IF(E792="","",IFERROR(INDEX(食材マスタ!$D$10:$D$309,MATCH(E792,食材マスタ!$C$10:$C$309,0)),"※コード未登録"))</f>
        <v/>
      </c>
      <c r="G792" s="16"/>
      <c r="H792" s="8" t="str">
        <f>IF(E792="","",IFERROR(INDEX(食材マスタ!$H$10:$H$309,MATCH(E792,食材マスタ!$C$10:$C$309,0)),""))</f>
        <v/>
      </c>
      <c r="I792" s="15" t="str">
        <f>IF(E792="","",IFERROR(INDEX(食材マスタ!$K$10:$K$309,MATCH(E792,食材マスタ!$C$10:$C$309,0)),""))</f>
        <v/>
      </c>
      <c r="J792" s="15" t="str">
        <f t="shared" si="60"/>
        <v/>
      </c>
      <c r="K792" s="20"/>
      <c r="L792" s="8" t="str">
        <f t="shared" si="61"/>
        <v/>
      </c>
      <c r="M792" s="9"/>
      <c r="N792" s="13" t="str">
        <f t="shared" si="62"/>
        <v/>
      </c>
      <c r="O792" s="22" t="str">
        <f t="shared" ca="1" si="63"/>
        <v/>
      </c>
      <c r="P792" s="17" t="str">
        <f t="shared" si="64"/>
        <v/>
      </c>
      <c r="Q792" s="11"/>
      <c r="R792" s="19"/>
      <c r="S792" s="19"/>
      <c r="U792">
        <f ca="1">IF(AND(ISNUMBER(O792),O792&lt;=設定!$C$4),1,0)</f>
        <v>0</v>
      </c>
      <c r="V792" t="str">
        <f ca="1">IF(U792=1,SUM($U$10:U792),"")</f>
        <v/>
      </c>
    </row>
    <row r="793" spans="2:22">
      <c r="B793" s="8" t="str">
        <f>IF(C793="","",COUNT($C$10:C793))</f>
        <v/>
      </c>
      <c r="C793" s="20"/>
      <c r="D793" s="11"/>
      <c r="E793" s="9"/>
      <c r="F793" s="21" t="str">
        <f>IF(E793="","",IFERROR(INDEX(食材マスタ!$D$10:$D$309,MATCH(E793,食材マスタ!$C$10:$C$309,0)),"※コード未登録"))</f>
        <v/>
      </c>
      <c r="G793" s="16"/>
      <c r="H793" s="8" t="str">
        <f>IF(E793="","",IFERROR(INDEX(食材マスタ!$H$10:$H$309,MATCH(E793,食材マスタ!$C$10:$C$309,0)),""))</f>
        <v/>
      </c>
      <c r="I793" s="15" t="str">
        <f>IF(E793="","",IFERROR(INDEX(食材マスタ!$K$10:$K$309,MATCH(E793,食材マスタ!$C$10:$C$309,0)),""))</f>
        <v/>
      </c>
      <c r="J793" s="15" t="str">
        <f t="shared" si="60"/>
        <v/>
      </c>
      <c r="K793" s="20"/>
      <c r="L793" s="8" t="str">
        <f t="shared" si="61"/>
        <v/>
      </c>
      <c r="M793" s="9"/>
      <c r="N793" s="13" t="str">
        <f t="shared" si="62"/>
        <v/>
      </c>
      <c r="O793" s="22" t="str">
        <f t="shared" ca="1" si="63"/>
        <v/>
      </c>
      <c r="P793" s="17" t="str">
        <f t="shared" si="64"/>
        <v/>
      </c>
      <c r="Q793" s="11"/>
      <c r="R793" s="19"/>
      <c r="S793" s="19"/>
      <c r="U793">
        <f ca="1">IF(AND(ISNUMBER(O793),O793&lt;=設定!$C$4),1,0)</f>
        <v>0</v>
      </c>
      <c r="V793" t="str">
        <f ca="1">IF(U793=1,SUM($U$10:U793),"")</f>
        <v/>
      </c>
    </row>
    <row r="794" spans="2:22">
      <c r="B794" s="8" t="str">
        <f>IF(C794="","",COUNT($C$10:C794))</f>
        <v/>
      </c>
      <c r="C794" s="20"/>
      <c r="D794" s="11"/>
      <c r="E794" s="9"/>
      <c r="F794" s="21" t="str">
        <f>IF(E794="","",IFERROR(INDEX(食材マスタ!$D$10:$D$309,MATCH(E794,食材マスタ!$C$10:$C$309,0)),"※コード未登録"))</f>
        <v/>
      </c>
      <c r="G794" s="16"/>
      <c r="H794" s="8" t="str">
        <f>IF(E794="","",IFERROR(INDEX(食材マスタ!$H$10:$H$309,MATCH(E794,食材マスタ!$C$10:$C$309,0)),""))</f>
        <v/>
      </c>
      <c r="I794" s="15" t="str">
        <f>IF(E794="","",IFERROR(INDEX(食材マスタ!$K$10:$K$309,MATCH(E794,食材マスタ!$C$10:$C$309,0)),""))</f>
        <v/>
      </c>
      <c r="J794" s="15" t="str">
        <f t="shared" si="60"/>
        <v/>
      </c>
      <c r="K794" s="20"/>
      <c r="L794" s="8" t="str">
        <f t="shared" si="61"/>
        <v/>
      </c>
      <c r="M794" s="9"/>
      <c r="N794" s="13" t="str">
        <f t="shared" si="62"/>
        <v/>
      </c>
      <c r="O794" s="22" t="str">
        <f t="shared" ca="1" si="63"/>
        <v/>
      </c>
      <c r="P794" s="17" t="str">
        <f t="shared" si="64"/>
        <v/>
      </c>
      <c r="Q794" s="11"/>
      <c r="R794" s="19"/>
      <c r="S794" s="19"/>
      <c r="U794">
        <f ca="1">IF(AND(ISNUMBER(O794),O794&lt;=設定!$C$4),1,0)</f>
        <v>0</v>
      </c>
      <c r="V794" t="str">
        <f ca="1">IF(U794=1,SUM($U$10:U794),"")</f>
        <v/>
      </c>
    </row>
    <row r="795" spans="2:22">
      <c r="B795" s="8" t="str">
        <f>IF(C795="","",COUNT($C$10:C795))</f>
        <v/>
      </c>
      <c r="C795" s="20"/>
      <c r="D795" s="11"/>
      <c r="E795" s="9"/>
      <c r="F795" s="21" t="str">
        <f>IF(E795="","",IFERROR(INDEX(食材マスタ!$D$10:$D$309,MATCH(E795,食材マスタ!$C$10:$C$309,0)),"※コード未登録"))</f>
        <v/>
      </c>
      <c r="G795" s="16"/>
      <c r="H795" s="8" t="str">
        <f>IF(E795="","",IFERROR(INDEX(食材マスタ!$H$10:$H$309,MATCH(E795,食材マスタ!$C$10:$C$309,0)),""))</f>
        <v/>
      </c>
      <c r="I795" s="15" t="str">
        <f>IF(E795="","",IFERROR(INDEX(食材マスタ!$K$10:$K$309,MATCH(E795,食材マスタ!$C$10:$C$309,0)),""))</f>
        <v/>
      </c>
      <c r="J795" s="15" t="str">
        <f t="shared" si="60"/>
        <v/>
      </c>
      <c r="K795" s="20"/>
      <c r="L795" s="8" t="str">
        <f t="shared" si="61"/>
        <v/>
      </c>
      <c r="M795" s="9"/>
      <c r="N795" s="13" t="str">
        <f t="shared" si="62"/>
        <v/>
      </c>
      <c r="O795" s="22" t="str">
        <f t="shared" ca="1" si="63"/>
        <v/>
      </c>
      <c r="P795" s="17" t="str">
        <f t="shared" si="64"/>
        <v/>
      </c>
      <c r="Q795" s="11"/>
      <c r="R795" s="19"/>
      <c r="S795" s="19"/>
      <c r="U795">
        <f ca="1">IF(AND(ISNUMBER(O795),O795&lt;=設定!$C$4),1,0)</f>
        <v>0</v>
      </c>
      <c r="V795" t="str">
        <f ca="1">IF(U795=1,SUM($U$10:U795),"")</f>
        <v/>
      </c>
    </row>
    <row r="796" spans="2:22">
      <c r="B796" s="8" t="str">
        <f>IF(C796="","",COUNT($C$10:C796))</f>
        <v/>
      </c>
      <c r="C796" s="20"/>
      <c r="D796" s="11"/>
      <c r="E796" s="9"/>
      <c r="F796" s="21" t="str">
        <f>IF(E796="","",IFERROR(INDEX(食材マスタ!$D$10:$D$309,MATCH(E796,食材マスタ!$C$10:$C$309,0)),"※コード未登録"))</f>
        <v/>
      </c>
      <c r="G796" s="16"/>
      <c r="H796" s="8" t="str">
        <f>IF(E796="","",IFERROR(INDEX(食材マスタ!$H$10:$H$309,MATCH(E796,食材マスタ!$C$10:$C$309,0)),""))</f>
        <v/>
      </c>
      <c r="I796" s="15" t="str">
        <f>IF(E796="","",IFERROR(INDEX(食材マスタ!$K$10:$K$309,MATCH(E796,食材マスタ!$C$10:$C$309,0)),""))</f>
        <v/>
      </c>
      <c r="J796" s="15" t="str">
        <f t="shared" si="60"/>
        <v/>
      </c>
      <c r="K796" s="20"/>
      <c r="L796" s="8" t="str">
        <f t="shared" si="61"/>
        <v/>
      </c>
      <c r="M796" s="9"/>
      <c r="N796" s="13" t="str">
        <f t="shared" si="62"/>
        <v/>
      </c>
      <c r="O796" s="22" t="str">
        <f t="shared" ca="1" si="63"/>
        <v/>
      </c>
      <c r="P796" s="17" t="str">
        <f t="shared" si="64"/>
        <v/>
      </c>
      <c r="Q796" s="11"/>
      <c r="R796" s="19"/>
      <c r="S796" s="19"/>
      <c r="U796">
        <f ca="1">IF(AND(ISNUMBER(O796),O796&lt;=設定!$C$4),1,0)</f>
        <v>0</v>
      </c>
      <c r="V796" t="str">
        <f ca="1">IF(U796=1,SUM($U$10:U796),"")</f>
        <v/>
      </c>
    </row>
    <row r="797" spans="2:22">
      <c r="B797" s="8" t="str">
        <f>IF(C797="","",COUNT($C$10:C797))</f>
        <v/>
      </c>
      <c r="C797" s="20"/>
      <c r="D797" s="11"/>
      <c r="E797" s="9"/>
      <c r="F797" s="21" t="str">
        <f>IF(E797="","",IFERROR(INDEX(食材マスタ!$D$10:$D$309,MATCH(E797,食材マスタ!$C$10:$C$309,0)),"※コード未登録"))</f>
        <v/>
      </c>
      <c r="G797" s="16"/>
      <c r="H797" s="8" t="str">
        <f>IF(E797="","",IFERROR(INDEX(食材マスタ!$H$10:$H$309,MATCH(E797,食材マスタ!$C$10:$C$309,0)),""))</f>
        <v/>
      </c>
      <c r="I797" s="15" t="str">
        <f>IF(E797="","",IFERROR(INDEX(食材マスタ!$K$10:$K$309,MATCH(E797,食材マスタ!$C$10:$C$309,0)),""))</f>
        <v/>
      </c>
      <c r="J797" s="15" t="str">
        <f t="shared" si="60"/>
        <v/>
      </c>
      <c r="K797" s="20"/>
      <c r="L797" s="8" t="str">
        <f t="shared" si="61"/>
        <v/>
      </c>
      <c r="M797" s="9"/>
      <c r="N797" s="13" t="str">
        <f t="shared" si="62"/>
        <v/>
      </c>
      <c r="O797" s="22" t="str">
        <f t="shared" ca="1" si="63"/>
        <v/>
      </c>
      <c r="P797" s="17" t="str">
        <f t="shared" si="64"/>
        <v/>
      </c>
      <c r="Q797" s="11"/>
      <c r="R797" s="19"/>
      <c r="S797" s="19"/>
      <c r="U797">
        <f ca="1">IF(AND(ISNUMBER(O797),O797&lt;=設定!$C$4),1,0)</f>
        <v>0</v>
      </c>
      <c r="V797" t="str">
        <f ca="1">IF(U797=1,SUM($U$10:U797),"")</f>
        <v/>
      </c>
    </row>
    <row r="798" spans="2:22">
      <c r="B798" s="8" t="str">
        <f>IF(C798="","",COUNT($C$10:C798))</f>
        <v/>
      </c>
      <c r="C798" s="20"/>
      <c r="D798" s="11"/>
      <c r="E798" s="9"/>
      <c r="F798" s="21" t="str">
        <f>IF(E798="","",IFERROR(INDEX(食材マスタ!$D$10:$D$309,MATCH(E798,食材マスタ!$C$10:$C$309,0)),"※コード未登録"))</f>
        <v/>
      </c>
      <c r="G798" s="16"/>
      <c r="H798" s="8" t="str">
        <f>IF(E798="","",IFERROR(INDEX(食材マスタ!$H$10:$H$309,MATCH(E798,食材マスタ!$C$10:$C$309,0)),""))</f>
        <v/>
      </c>
      <c r="I798" s="15" t="str">
        <f>IF(E798="","",IFERROR(INDEX(食材マスタ!$K$10:$K$309,MATCH(E798,食材マスタ!$C$10:$C$309,0)),""))</f>
        <v/>
      </c>
      <c r="J798" s="15" t="str">
        <f t="shared" si="60"/>
        <v/>
      </c>
      <c r="K798" s="20"/>
      <c r="L798" s="8" t="str">
        <f t="shared" si="61"/>
        <v/>
      </c>
      <c r="M798" s="9"/>
      <c r="N798" s="13" t="str">
        <f t="shared" si="62"/>
        <v/>
      </c>
      <c r="O798" s="22" t="str">
        <f t="shared" ca="1" si="63"/>
        <v/>
      </c>
      <c r="P798" s="17" t="str">
        <f t="shared" si="64"/>
        <v/>
      </c>
      <c r="Q798" s="11"/>
      <c r="R798" s="19"/>
      <c r="S798" s="19"/>
      <c r="U798">
        <f ca="1">IF(AND(ISNUMBER(O798),O798&lt;=設定!$C$4),1,0)</f>
        <v>0</v>
      </c>
      <c r="V798" t="str">
        <f ca="1">IF(U798=1,SUM($U$10:U798),"")</f>
        <v/>
      </c>
    </row>
    <row r="799" spans="2:22">
      <c r="B799" s="8" t="str">
        <f>IF(C799="","",COUNT($C$10:C799))</f>
        <v/>
      </c>
      <c r="C799" s="20"/>
      <c r="D799" s="11"/>
      <c r="E799" s="9"/>
      <c r="F799" s="21" t="str">
        <f>IF(E799="","",IFERROR(INDEX(食材マスタ!$D$10:$D$309,MATCH(E799,食材マスタ!$C$10:$C$309,0)),"※コード未登録"))</f>
        <v/>
      </c>
      <c r="G799" s="16"/>
      <c r="H799" s="8" t="str">
        <f>IF(E799="","",IFERROR(INDEX(食材マスタ!$H$10:$H$309,MATCH(E799,食材マスタ!$C$10:$C$309,0)),""))</f>
        <v/>
      </c>
      <c r="I799" s="15" t="str">
        <f>IF(E799="","",IFERROR(INDEX(食材マスタ!$K$10:$K$309,MATCH(E799,食材マスタ!$C$10:$C$309,0)),""))</f>
        <v/>
      </c>
      <c r="J799" s="15" t="str">
        <f t="shared" si="60"/>
        <v/>
      </c>
      <c r="K799" s="20"/>
      <c r="L799" s="8" t="str">
        <f t="shared" si="61"/>
        <v/>
      </c>
      <c r="M799" s="9"/>
      <c r="N799" s="13" t="str">
        <f t="shared" si="62"/>
        <v/>
      </c>
      <c r="O799" s="22" t="str">
        <f t="shared" ca="1" si="63"/>
        <v/>
      </c>
      <c r="P799" s="17" t="str">
        <f t="shared" si="64"/>
        <v/>
      </c>
      <c r="Q799" s="11"/>
      <c r="R799" s="19"/>
      <c r="S799" s="19"/>
      <c r="U799">
        <f ca="1">IF(AND(ISNUMBER(O799),O799&lt;=設定!$C$4),1,0)</f>
        <v>0</v>
      </c>
      <c r="V799" t="str">
        <f ca="1">IF(U799=1,SUM($U$10:U799),"")</f>
        <v/>
      </c>
    </row>
    <row r="800" spans="2:22">
      <c r="B800" s="8" t="str">
        <f>IF(C800="","",COUNT($C$10:C800))</f>
        <v/>
      </c>
      <c r="C800" s="20"/>
      <c r="D800" s="11"/>
      <c r="E800" s="9"/>
      <c r="F800" s="21" t="str">
        <f>IF(E800="","",IFERROR(INDEX(食材マスタ!$D$10:$D$309,MATCH(E800,食材マスタ!$C$10:$C$309,0)),"※コード未登録"))</f>
        <v/>
      </c>
      <c r="G800" s="16"/>
      <c r="H800" s="8" t="str">
        <f>IF(E800="","",IFERROR(INDEX(食材マスタ!$H$10:$H$309,MATCH(E800,食材マスタ!$C$10:$C$309,0)),""))</f>
        <v/>
      </c>
      <c r="I800" s="15" t="str">
        <f>IF(E800="","",IFERROR(INDEX(食材マスタ!$K$10:$K$309,MATCH(E800,食材マスタ!$C$10:$C$309,0)),""))</f>
        <v/>
      </c>
      <c r="J800" s="15" t="str">
        <f t="shared" si="60"/>
        <v/>
      </c>
      <c r="K800" s="20"/>
      <c r="L800" s="8" t="str">
        <f t="shared" si="61"/>
        <v/>
      </c>
      <c r="M800" s="9"/>
      <c r="N800" s="13" t="str">
        <f t="shared" si="62"/>
        <v/>
      </c>
      <c r="O800" s="22" t="str">
        <f t="shared" ca="1" si="63"/>
        <v/>
      </c>
      <c r="P800" s="17" t="str">
        <f t="shared" si="64"/>
        <v/>
      </c>
      <c r="Q800" s="11"/>
      <c r="R800" s="19"/>
      <c r="S800" s="19"/>
      <c r="U800">
        <f ca="1">IF(AND(ISNUMBER(O800),O800&lt;=設定!$C$4),1,0)</f>
        <v>0</v>
      </c>
      <c r="V800" t="str">
        <f ca="1">IF(U800=1,SUM($U$10:U800),"")</f>
        <v/>
      </c>
    </row>
    <row r="801" spans="2:22">
      <c r="B801" s="8" t="str">
        <f>IF(C801="","",COUNT($C$10:C801))</f>
        <v/>
      </c>
      <c r="C801" s="20"/>
      <c r="D801" s="11"/>
      <c r="E801" s="9"/>
      <c r="F801" s="21" t="str">
        <f>IF(E801="","",IFERROR(INDEX(食材マスタ!$D$10:$D$309,MATCH(E801,食材マスタ!$C$10:$C$309,0)),"※コード未登録"))</f>
        <v/>
      </c>
      <c r="G801" s="16"/>
      <c r="H801" s="8" t="str">
        <f>IF(E801="","",IFERROR(INDEX(食材マスタ!$H$10:$H$309,MATCH(E801,食材マスタ!$C$10:$C$309,0)),""))</f>
        <v/>
      </c>
      <c r="I801" s="15" t="str">
        <f>IF(E801="","",IFERROR(INDEX(食材マスタ!$K$10:$K$309,MATCH(E801,食材マスタ!$C$10:$C$309,0)),""))</f>
        <v/>
      </c>
      <c r="J801" s="15" t="str">
        <f t="shared" si="60"/>
        <v/>
      </c>
      <c r="K801" s="20"/>
      <c r="L801" s="8" t="str">
        <f t="shared" si="61"/>
        <v/>
      </c>
      <c r="M801" s="9"/>
      <c r="N801" s="13" t="str">
        <f t="shared" si="62"/>
        <v/>
      </c>
      <c r="O801" s="22" t="str">
        <f t="shared" ca="1" si="63"/>
        <v/>
      </c>
      <c r="P801" s="17" t="str">
        <f t="shared" si="64"/>
        <v/>
      </c>
      <c r="Q801" s="11"/>
      <c r="R801" s="19"/>
      <c r="S801" s="19"/>
      <c r="U801">
        <f ca="1">IF(AND(ISNUMBER(O801),O801&lt;=設定!$C$4),1,0)</f>
        <v>0</v>
      </c>
      <c r="V801" t="str">
        <f ca="1">IF(U801=1,SUM($U$10:U801),"")</f>
        <v/>
      </c>
    </row>
    <row r="802" spans="2:22">
      <c r="B802" s="8" t="str">
        <f>IF(C802="","",COUNT($C$10:C802))</f>
        <v/>
      </c>
      <c r="C802" s="20"/>
      <c r="D802" s="11"/>
      <c r="E802" s="9"/>
      <c r="F802" s="21" t="str">
        <f>IF(E802="","",IFERROR(INDEX(食材マスタ!$D$10:$D$309,MATCH(E802,食材マスタ!$C$10:$C$309,0)),"※コード未登録"))</f>
        <v/>
      </c>
      <c r="G802" s="16"/>
      <c r="H802" s="8" t="str">
        <f>IF(E802="","",IFERROR(INDEX(食材マスタ!$H$10:$H$309,MATCH(E802,食材マスタ!$C$10:$C$309,0)),""))</f>
        <v/>
      </c>
      <c r="I802" s="15" t="str">
        <f>IF(E802="","",IFERROR(INDEX(食材マスタ!$K$10:$K$309,MATCH(E802,食材マスタ!$C$10:$C$309,0)),""))</f>
        <v/>
      </c>
      <c r="J802" s="15" t="str">
        <f t="shared" si="60"/>
        <v/>
      </c>
      <c r="K802" s="20"/>
      <c r="L802" s="8" t="str">
        <f t="shared" si="61"/>
        <v/>
      </c>
      <c r="M802" s="9"/>
      <c r="N802" s="13" t="str">
        <f t="shared" si="62"/>
        <v/>
      </c>
      <c r="O802" s="22" t="str">
        <f t="shared" ca="1" si="63"/>
        <v/>
      </c>
      <c r="P802" s="17" t="str">
        <f t="shared" si="64"/>
        <v/>
      </c>
      <c r="Q802" s="11"/>
      <c r="R802" s="19"/>
      <c r="S802" s="19"/>
      <c r="U802">
        <f ca="1">IF(AND(ISNUMBER(O802),O802&lt;=設定!$C$4),1,0)</f>
        <v>0</v>
      </c>
      <c r="V802" t="str">
        <f ca="1">IF(U802=1,SUM($U$10:U802),"")</f>
        <v/>
      </c>
    </row>
    <row r="803" spans="2:22">
      <c r="B803" s="8" t="str">
        <f>IF(C803="","",COUNT($C$10:C803))</f>
        <v/>
      </c>
      <c r="C803" s="20"/>
      <c r="D803" s="11"/>
      <c r="E803" s="9"/>
      <c r="F803" s="21" t="str">
        <f>IF(E803="","",IFERROR(INDEX(食材マスタ!$D$10:$D$309,MATCH(E803,食材マスタ!$C$10:$C$309,0)),"※コード未登録"))</f>
        <v/>
      </c>
      <c r="G803" s="16"/>
      <c r="H803" s="8" t="str">
        <f>IF(E803="","",IFERROR(INDEX(食材マスタ!$H$10:$H$309,MATCH(E803,食材マスタ!$C$10:$C$309,0)),""))</f>
        <v/>
      </c>
      <c r="I803" s="15" t="str">
        <f>IF(E803="","",IFERROR(INDEX(食材マスタ!$K$10:$K$309,MATCH(E803,食材マスタ!$C$10:$C$309,0)),""))</f>
        <v/>
      </c>
      <c r="J803" s="15" t="str">
        <f t="shared" si="60"/>
        <v/>
      </c>
      <c r="K803" s="20"/>
      <c r="L803" s="8" t="str">
        <f t="shared" si="61"/>
        <v/>
      </c>
      <c r="M803" s="9"/>
      <c r="N803" s="13" t="str">
        <f t="shared" si="62"/>
        <v/>
      </c>
      <c r="O803" s="22" t="str">
        <f t="shared" ca="1" si="63"/>
        <v/>
      </c>
      <c r="P803" s="17" t="str">
        <f t="shared" si="64"/>
        <v/>
      </c>
      <c r="Q803" s="11"/>
      <c r="R803" s="19"/>
      <c r="S803" s="19"/>
      <c r="U803">
        <f ca="1">IF(AND(ISNUMBER(O803),O803&lt;=設定!$C$4),1,0)</f>
        <v>0</v>
      </c>
      <c r="V803" t="str">
        <f ca="1">IF(U803=1,SUM($U$10:U803),"")</f>
        <v/>
      </c>
    </row>
    <row r="804" spans="2:22">
      <c r="B804" s="8" t="str">
        <f>IF(C804="","",COUNT($C$10:C804))</f>
        <v/>
      </c>
      <c r="C804" s="20"/>
      <c r="D804" s="11"/>
      <c r="E804" s="9"/>
      <c r="F804" s="21" t="str">
        <f>IF(E804="","",IFERROR(INDEX(食材マスタ!$D$10:$D$309,MATCH(E804,食材マスタ!$C$10:$C$309,0)),"※コード未登録"))</f>
        <v/>
      </c>
      <c r="G804" s="16"/>
      <c r="H804" s="8" t="str">
        <f>IF(E804="","",IFERROR(INDEX(食材マスタ!$H$10:$H$309,MATCH(E804,食材マスタ!$C$10:$C$309,0)),""))</f>
        <v/>
      </c>
      <c r="I804" s="15" t="str">
        <f>IF(E804="","",IFERROR(INDEX(食材マスタ!$K$10:$K$309,MATCH(E804,食材マスタ!$C$10:$C$309,0)),""))</f>
        <v/>
      </c>
      <c r="J804" s="15" t="str">
        <f t="shared" si="60"/>
        <v/>
      </c>
      <c r="K804" s="20"/>
      <c r="L804" s="8" t="str">
        <f t="shared" si="61"/>
        <v/>
      </c>
      <c r="M804" s="9"/>
      <c r="N804" s="13" t="str">
        <f t="shared" si="62"/>
        <v/>
      </c>
      <c r="O804" s="22" t="str">
        <f t="shared" ca="1" si="63"/>
        <v/>
      </c>
      <c r="P804" s="17" t="str">
        <f t="shared" si="64"/>
        <v/>
      </c>
      <c r="Q804" s="11"/>
      <c r="R804" s="19"/>
      <c r="S804" s="19"/>
      <c r="U804">
        <f ca="1">IF(AND(ISNUMBER(O804),O804&lt;=設定!$C$4),1,0)</f>
        <v>0</v>
      </c>
      <c r="V804" t="str">
        <f ca="1">IF(U804=1,SUM($U$10:U804),"")</f>
        <v/>
      </c>
    </row>
    <row r="805" spans="2:22">
      <c r="B805" s="8" t="str">
        <f>IF(C805="","",COUNT($C$10:C805))</f>
        <v/>
      </c>
      <c r="C805" s="20"/>
      <c r="D805" s="11"/>
      <c r="E805" s="9"/>
      <c r="F805" s="21" t="str">
        <f>IF(E805="","",IFERROR(INDEX(食材マスタ!$D$10:$D$309,MATCH(E805,食材マスタ!$C$10:$C$309,0)),"※コード未登録"))</f>
        <v/>
      </c>
      <c r="G805" s="16"/>
      <c r="H805" s="8" t="str">
        <f>IF(E805="","",IFERROR(INDEX(食材マスタ!$H$10:$H$309,MATCH(E805,食材マスタ!$C$10:$C$309,0)),""))</f>
        <v/>
      </c>
      <c r="I805" s="15" t="str">
        <f>IF(E805="","",IFERROR(INDEX(食材マスタ!$K$10:$K$309,MATCH(E805,食材マスタ!$C$10:$C$309,0)),""))</f>
        <v/>
      </c>
      <c r="J805" s="15" t="str">
        <f t="shared" si="60"/>
        <v/>
      </c>
      <c r="K805" s="20"/>
      <c r="L805" s="8" t="str">
        <f t="shared" si="61"/>
        <v/>
      </c>
      <c r="M805" s="9"/>
      <c r="N805" s="13" t="str">
        <f t="shared" si="62"/>
        <v/>
      </c>
      <c r="O805" s="22" t="str">
        <f t="shared" ca="1" si="63"/>
        <v/>
      </c>
      <c r="P805" s="17" t="str">
        <f t="shared" si="64"/>
        <v/>
      </c>
      <c r="Q805" s="11"/>
      <c r="R805" s="19"/>
      <c r="S805" s="19"/>
      <c r="U805">
        <f ca="1">IF(AND(ISNUMBER(O805),O805&lt;=設定!$C$4),1,0)</f>
        <v>0</v>
      </c>
      <c r="V805" t="str">
        <f ca="1">IF(U805=1,SUM($U$10:U805),"")</f>
        <v/>
      </c>
    </row>
    <row r="806" spans="2:22">
      <c r="B806" s="8" t="str">
        <f>IF(C806="","",COUNT($C$10:C806))</f>
        <v/>
      </c>
      <c r="C806" s="20"/>
      <c r="D806" s="11"/>
      <c r="E806" s="9"/>
      <c r="F806" s="21" t="str">
        <f>IF(E806="","",IFERROR(INDEX(食材マスタ!$D$10:$D$309,MATCH(E806,食材マスタ!$C$10:$C$309,0)),"※コード未登録"))</f>
        <v/>
      </c>
      <c r="G806" s="16"/>
      <c r="H806" s="8" t="str">
        <f>IF(E806="","",IFERROR(INDEX(食材マスタ!$H$10:$H$309,MATCH(E806,食材マスタ!$C$10:$C$309,0)),""))</f>
        <v/>
      </c>
      <c r="I806" s="15" t="str">
        <f>IF(E806="","",IFERROR(INDEX(食材マスタ!$K$10:$K$309,MATCH(E806,食材マスタ!$C$10:$C$309,0)),""))</f>
        <v/>
      </c>
      <c r="J806" s="15" t="str">
        <f t="shared" si="60"/>
        <v/>
      </c>
      <c r="K806" s="20"/>
      <c r="L806" s="8" t="str">
        <f t="shared" si="61"/>
        <v/>
      </c>
      <c r="M806" s="9"/>
      <c r="N806" s="13" t="str">
        <f t="shared" si="62"/>
        <v/>
      </c>
      <c r="O806" s="22" t="str">
        <f t="shared" ca="1" si="63"/>
        <v/>
      </c>
      <c r="P806" s="17" t="str">
        <f t="shared" si="64"/>
        <v/>
      </c>
      <c r="Q806" s="11"/>
      <c r="R806" s="19"/>
      <c r="S806" s="19"/>
      <c r="U806">
        <f ca="1">IF(AND(ISNUMBER(O806),O806&lt;=設定!$C$4),1,0)</f>
        <v>0</v>
      </c>
      <c r="V806" t="str">
        <f ca="1">IF(U806=1,SUM($U$10:U806),"")</f>
        <v/>
      </c>
    </row>
    <row r="807" spans="2:22">
      <c r="B807" s="8" t="str">
        <f>IF(C807="","",COUNT($C$10:C807))</f>
        <v/>
      </c>
      <c r="C807" s="20"/>
      <c r="D807" s="11"/>
      <c r="E807" s="9"/>
      <c r="F807" s="21" t="str">
        <f>IF(E807="","",IFERROR(INDEX(食材マスタ!$D$10:$D$309,MATCH(E807,食材マスタ!$C$10:$C$309,0)),"※コード未登録"))</f>
        <v/>
      </c>
      <c r="G807" s="16"/>
      <c r="H807" s="8" t="str">
        <f>IF(E807="","",IFERROR(INDEX(食材マスタ!$H$10:$H$309,MATCH(E807,食材マスタ!$C$10:$C$309,0)),""))</f>
        <v/>
      </c>
      <c r="I807" s="15" t="str">
        <f>IF(E807="","",IFERROR(INDEX(食材マスタ!$K$10:$K$309,MATCH(E807,食材マスタ!$C$10:$C$309,0)),""))</f>
        <v/>
      </c>
      <c r="J807" s="15" t="str">
        <f t="shared" si="60"/>
        <v/>
      </c>
      <c r="K807" s="20"/>
      <c r="L807" s="8" t="str">
        <f t="shared" si="61"/>
        <v/>
      </c>
      <c r="M807" s="9"/>
      <c r="N807" s="13" t="str">
        <f t="shared" si="62"/>
        <v/>
      </c>
      <c r="O807" s="22" t="str">
        <f t="shared" ca="1" si="63"/>
        <v/>
      </c>
      <c r="P807" s="17" t="str">
        <f t="shared" si="64"/>
        <v/>
      </c>
      <c r="Q807" s="11"/>
      <c r="R807" s="19"/>
      <c r="S807" s="19"/>
      <c r="U807">
        <f ca="1">IF(AND(ISNUMBER(O807),O807&lt;=設定!$C$4),1,0)</f>
        <v>0</v>
      </c>
      <c r="V807" t="str">
        <f ca="1">IF(U807=1,SUM($U$10:U807),"")</f>
        <v/>
      </c>
    </row>
    <row r="808" spans="2:22">
      <c r="B808" s="8" t="str">
        <f>IF(C808="","",COUNT($C$10:C808))</f>
        <v/>
      </c>
      <c r="C808" s="20"/>
      <c r="D808" s="11"/>
      <c r="E808" s="9"/>
      <c r="F808" s="21" t="str">
        <f>IF(E808="","",IFERROR(INDEX(食材マスタ!$D$10:$D$309,MATCH(E808,食材マスタ!$C$10:$C$309,0)),"※コード未登録"))</f>
        <v/>
      </c>
      <c r="G808" s="16"/>
      <c r="H808" s="8" t="str">
        <f>IF(E808="","",IFERROR(INDEX(食材マスタ!$H$10:$H$309,MATCH(E808,食材マスタ!$C$10:$C$309,0)),""))</f>
        <v/>
      </c>
      <c r="I808" s="15" t="str">
        <f>IF(E808="","",IFERROR(INDEX(食材マスタ!$K$10:$K$309,MATCH(E808,食材マスタ!$C$10:$C$309,0)),""))</f>
        <v/>
      </c>
      <c r="J808" s="15" t="str">
        <f t="shared" si="60"/>
        <v/>
      </c>
      <c r="K808" s="20"/>
      <c r="L808" s="8" t="str">
        <f t="shared" si="61"/>
        <v/>
      </c>
      <c r="M808" s="9"/>
      <c r="N808" s="13" t="str">
        <f t="shared" si="62"/>
        <v/>
      </c>
      <c r="O808" s="22" t="str">
        <f t="shared" ca="1" si="63"/>
        <v/>
      </c>
      <c r="P808" s="17" t="str">
        <f t="shared" si="64"/>
        <v/>
      </c>
      <c r="Q808" s="11"/>
      <c r="R808" s="19"/>
      <c r="S808" s="19"/>
      <c r="U808">
        <f ca="1">IF(AND(ISNUMBER(O808),O808&lt;=設定!$C$4),1,0)</f>
        <v>0</v>
      </c>
      <c r="V808" t="str">
        <f ca="1">IF(U808=1,SUM($U$10:U808),"")</f>
        <v/>
      </c>
    </row>
    <row r="809" spans="2:22">
      <c r="B809" s="8" t="str">
        <f>IF(C809="","",COUNT($C$10:C809))</f>
        <v/>
      </c>
      <c r="C809" s="20"/>
      <c r="D809" s="11"/>
      <c r="E809" s="9"/>
      <c r="F809" s="21" t="str">
        <f>IF(E809="","",IFERROR(INDEX(食材マスタ!$D$10:$D$309,MATCH(E809,食材マスタ!$C$10:$C$309,0)),"※コード未登録"))</f>
        <v/>
      </c>
      <c r="G809" s="16"/>
      <c r="H809" s="8" t="str">
        <f>IF(E809="","",IFERROR(INDEX(食材マスタ!$H$10:$H$309,MATCH(E809,食材マスタ!$C$10:$C$309,0)),""))</f>
        <v/>
      </c>
      <c r="I809" s="15" t="str">
        <f>IF(E809="","",IFERROR(INDEX(食材マスタ!$K$10:$K$309,MATCH(E809,食材マスタ!$C$10:$C$309,0)),""))</f>
        <v/>
      </c>
      <c r="J809" s="15" t="str">
        <f t="shared" si="60"/>
        <v/>
      </c>
      <c r="K809" s="20"/>
      <c r="L809" s="8" t="str">
        <f t="shared" si="61"/>
        <v/>
      </c>
      <c r="M809" s="9"/>
      <c r="N809" s="13" t="str">
        <f t="shared" si="62"/>
        <v/>
      </c>
      <c r="O809" s="22" t="str">
        <f t="shared" ca="1" si="63"/>
        <v/>
      </c>
      <c r="P809" s="17" t="str">
        <f t="shared" si="64"/>
        <v/>
      </c>
      <c r="Q809" s="11"/>
      <c r="R809" s="19"/>
      <c r="S809" s="19"/>
      <c r="U809">
        <f ca="1">IF(AND(ISNUMBER(O809),O809&lt;=設定!$C$4),1,0)</f>
        <v>0</v>
      </c>
      <c r="V809" t="str">
        <f ca="1">IF(U809=1,SUM($U$10:U809),"")</f>
        <v/>
      </c>
    </row>
    <row r="810" spans="2:22">
      <c r="B810" s="8" t="str">
        <f>IF(C810="","",COUNT($C$10:C810))</f>
        <v/>
      </c>
      <c r="C810" s="20"/>
      <c r="D810" s="11"/>
      <c r="E810" s="9"/>
      <c r="F810" s="21" t="str">
        <f>IF(E810="","",IFERROR(INDEX(食材マスタ!$D$10:$D$309,MATCH(E810,食材マスタ!$C$10:$C$309,0)),"※コード未登録"))</f>
        <v/>
      </c>
      <c r="G810" s="16"/>
      <c r="H810" s="8" t="str">
        <f>IF(E810="","",IFERROR(INDEX(食材マスタ!$H$10:$H$309,MATCH(E810,食材マスタ!$C$10:$C$309,0)),""))</f>
        <v/>
      </c>
      <c r="I810" s="15" t="str">
        <f>IF(E810="","",IFERROR(INDEX(食材マスタ!$K$10:$K$309,MATCH(E810,食材マスタ!$C$10:$C$309,0)),""))</f>
        <v/>
      </c>
      <c r="J810" s="15" t="str">
        <f t="shared" si="60"/>
        <v/>
      </c>
      <c r="K810" s="20"/>
      <c r="L810" s="8" t="str">
        <f t="shared" si="61"/>
        <v/>
      </c>
      <c r="M810" s="9"/>
      <c r="N810" s="13" t="str">
        <f t="shared" si="62"/>
        <v/>
      </c>
      <c r="O810" s="22" t="str">
        <f t="shared" ca="1" si="63"/>
        <v/>
      </c>
      <c r="P810" s="17" t="str">
        <f t="shared" si="64"/>
        <v/>
      </c>
      <c r="Q810" s="11"/>
      <c r="R810" s="19"/>
      <c r="S810" s="19"/>
      <c r="U810">
        <f ca="1">IF(AND(ISNUMBER(O810),O810&lt;=設定!$C$4),1,0)</f>
        <v>0</v>
      </c>
      <c r="V810" t="str">
        <f ca="1">IF(U810=1,SUM($U$10:U810),"")</f>
        <v/>
      </c>
    </row>
    <row r="811" spans="2:22">
      <c r="B811" s="8" t="str">
        <f>IF(C811="","",COUNT($C$10:C811))</f>
        <v/>
      </c>
      <c r="C811" s="20"/>
      <c r="D811" s="11"/>
      <c r="E811" s="9"/>
      <c r="F811" s="21" t="str">
        <f>IF(E811="","",IFERROR(INDEX(食材マスタ!$D$10:$D$309,MATCH(E811,食材マスタ!$C$10:$C$309,0)),"※コード未登録"))</f>
        <v/>
      </c>
      <c r="G811" s="16"/>
      <c r="H811" s="8" t="str">
        <f>IF(E811="","",IFERROR(INDEX(食材マスタ!$H$10:$H$309,MATCH(E811,食材マスタ!$C$10:$C$309,0)),""))</f>
        <v/>
      </c>
      <c r="I811" s="15" t="str">
        <f>IF(E811="","",IFERROR(INDEX(食材マスタ!$K$10:$K$309,MATCH(E811,食材マスタ!$C$10:$C$309,0)),""))</f>
        <v/>
      </c>
      <c r="J811" s="15" t="str">
        <f t="shared" si="60"/>
        <v/>
      </c>
      <c r="K811" s="20"/>
      <c r="L811" s="8" t="str">
        <f t="shared" si="61"/>
        <v/>
      </c>
      <c r="M811" s="9"/>
      <c r="N811" s="13" t="str">
        <f t="shared" si="62"/>
        <v/>
      </c>
      <c r="O811" s="22" t="str">
        <f t="shared" ca="1" si="63"/>
        <v/>
      </c>
      <c r="P811" s="17" t="str">
        <f t="shared" si="64"/>
        <v/>
      </c>
      <c r="Q811" s="11"/>
      <c r="R811" s="19"/>
      <c r="S811" s="19"/>
      <c r="U811">
        <f ca="1">IF(AND(ISNUMBER(O811),O811&lt;=設定!$C$4),1,0)</f>
        <v>0</v>
      </c>
      <c r="V811" t="str">
        <f ca="1">IF(U811=1,SUM($U$10:U811),"")</f>
        <v/>
      </c>
    </row>
    <row r="812" spans="2:22">
      <c r="B812" s="8" t="str">
        <f>IF(C812="","",COUNT($C$10:C812))</f>
        <v/>
      </c>
      <c r="C812" s="20"/>
      <c r="D812" s="11"/>
      <c r="E812" s="9"/>
      <c r="F812" s="21" t="str">
        <f>IF(E812="","",IFERROR(INDEX(食材マスタ!$D$10:$D$309,MATCH(E812,食材マスタ!$C$10:$C$309,0)),"※コード未登録"))</f>
        <v/>
      </c>
      <c r="G812" s="16"/>
      <c r="H812" s="8" t="str">
        <f>IF(E812="","",IFERROR(INDEX(食材マスタ!$H$10:$H$309,MATCH(E812,食材マスタ!$C$10:$C$309,0)),""))</f>
        <v/>
      </c>
      <c r="I812" s="15" t="str">
        <f>IF(E812="","",IFERROR(INDEX(食材マスタ!$K$10:$K$309,MATCH(E812,食材マスタ!$C$10:$C$309,0)),""))</f>
        <v/>
      </c>
      <c r="J812" s="15" t="str">
        <f t="shared" si="60"/>
        <v/>
      </c>
      <c r="K812" s="20"/>
      <c r="L812" s="8" t="str">
        <f t="shared" si="61"/>
        <v/>
      </c>
      <c r="M812" s="9"/>
      <c r="N812" s="13" t="str">
        <f t="shared" si="62"/>
        <v/>
      </c>
      <c r="O812" s="22" t="str">
        <f t="shared" ca="1" si="63"/>
        <v/>
      </c>
      <c r="P812" s="17" t="str">
        <f t="shared" si="64"/>
        <v/>
      </c>
      <c r="Q812" s="11"/>
      <c r="R812" s="19"/>
      <c r="S812" s="19"/>
      <c r="U812">
        <f ca="1">IF(AND(ISNUMBER(O812),O812&lt;=設定!$C$4),1,0)</f>
        <v>0</v>
      </c>
      <c r="V812" t="str">
        <f ca="1">IF(U812=1,SUM($U$10:U812),"")</f>
        <v/>
      </c>
    </row>
    <row r="813" spans="2:22">
      <c r="B813" s="8" t="str">
        <f>IF(C813="","",COUNT($C$10:C813))</f>
        <v/>
      </c>
      <c r="C813" s="20"/>
      <c r="D813" s="11"/>
      <c r="E813" s="9"/>
      <c r="F813" s="21" t="str">
        <f>IF(E813="","",IFERROR(INDEX(食材マスタ!$D$10:$D$309,MATCH(E813,食材マスタ!$C$10:$C$309,0)),"※コード未登録"))</f>
        <v/>
      </c>
      <c r="G813" s="16"/>
      <c r="H813" s="8" t="str">
        <f>IF(E813="","",IFERROR(INDEX(食材マスタ!$H$10:$H$309,MATCH(E813,食材マスタ!$C$10:$C$309,0)),""))</f>
        <v/>
      </c>
      <c r="I813" s="15" t="str">
        <f>IF(E813="","",IFERROR(INDEX(食材マスタ!$K$10:$K$309,MATCH(E813,食材マスタ!$C$10:$C$309,0)),""))</f>
        <v/>
      </c>
      <c r="J813" s="15" t="str">
        <f t="shared" si="60"/>
        <v/>
      </c>
      <c r="K813" s="20"/>
      <c r="L813" s="8" t="str">
        <f t="shared" si="61"/>
        <v/>
      </c>
      <c r="M813" s="9"/>
      <c r="N813" s="13" t="str">
        <f t="shared" si="62"/>
        <v/>
      </c>
      <c r="O813" s="22" t="str">
        <f t="shared" ca="1" si="63"/>
        <v/>
      </c>
      <c r="P813" s="17" t="str">
        <f t="shared" si="64"/>
        <v/>
      </c>
      <c r="Q813" s="11"/>
      <c r="R813" s="19"/>
      <c r="S813" s="19"/>
      <c r="U813">
        <f ca="1">IF(AND(ISNUMBER(O813),O813&lt;=設定!$C$4),1,0)</f>
        <v>0</v>
      </c>
      <c r="V813" t="str">
        <f ca="1">IF(U813=1,SUM($U$10:U813),"")</f>
        <v/>
      </c>
    </row>
    <row r="814" spans="2:22">
      <c r="B814" s="8" t="str">
        <f>IF(C814="","",COUNT($C$10:C814))</f>
        <v/>
      </c>
      <c r="C814" s="20"/>
      <c r="D814" s="11"/>
      <c r="E814" s="9"/>
      <c r="F814" s="21" t="str">
        <f>IF(E814="","",IFERROR(INDEX(食材マスタ!$D$10:$D$309,MATCH(E814,食材マスタ!$C$10:$C$309,0)),"※コード未登録"))</f>
        <v/>
      </c>
      <c r="G814" s="16"/>
      <c r="H814" s="8" t="str">
        <f>IF(E814="","",IFERROR(INDEX(食材マスタ!$H$10:$H$309,MATCH(E814,食材マスタ!$C$10:$C$309,0)),""))</f>
        <v/>
      </c>
      <c r="I814" s="15" t="str">
        <f>IF(E814="","",IFERROR(INDEX(食材マスタ!$K$10:$K$309,MATCH(E814,食材マスタ!$C$10:$C$309,0)),""))</f>
        <v/>
      </c>
      <c r="J814" s="15" t="str">
        <f t="shared" si="60"/>
        <v/>
      </c>
      <c r="K814" s="20"/>
      <c r="L814" s="8" t="str">
        <f t="shared" si="61"/>
        <v/>
      </c>
      <c r="M814" s="9"/>
      <c r="N814" s="13" t="str">
        <f t="shared" si="62"/>
        <v/>
      </c>
      <c r="O814" s="22" t="str">
        <f t="shared" ca="1" si="63"/>
        <v/>
      </c>
      <c r="P814" s="17" t="str">
        <f t="shared" si="64"/>
        <v/>
      </c>
      <c r="Q814" s="11"/>
      <c r="R814" s="19"/>
      <c r="S814" s="19"/>
      <c r="U814">
        <f ca="1">IF(AND(ISNUMBER(O814),O814&lt;=設定!$C$4),1,0)</f>
        <v>0</v>
      </c>
      <c r="V814" t="str">
        <f ca="1">IF(U814=1,SUM($U$10:U814),"")</f>
        <v/>
      </c>
    </row>
    <row r="815" spans="2:22">
      <c r="B815" s="8" t="str">
        <f>IF(C815="","",COUNT($C$10:C815))</f>
        <v/>
      </c>
      <c r="C815" s="20"/>
      <c r="D815" s="11"/>
      <c r="E815" s="9"/>
      <c r="F815" s="21" t="str">
        <f>IF(E815="","",IFERROR(INDEX(食材マスタ!$D$10:$D$309,MATCH(E815,食材マスタ!$C$10:$C$309,0)),"※コード未登録"))</f>
        <v/>
      </c>
      <c r="G815" s="16"/>
      <c r="H815" s="8" t="str">
        <f>IF(E815="","",IFERROR(INDEX(食材マスタ!$H$10:$H$309,MATCH(E815,食材マスタ!$C$10:$C$309,0)),""))</f>
        <v/>
      </c>
      <c r="I815" s="15" t="str">
        <f>IF(E815="","",IFERROR(INDEX(食材マスタ!$K$10:$K$309,MATCH(E815,食材マスタ!$C$10:$C$309,0)),""))</f>
        <v/>
      </c>
      <c r="J815" s="15" t="str">
        <f t="shared" si="60"/>
        <v/>
      </c>
      <c r="K815" s="20"/>
      <c r="L815" s="8" t="str">
        <f t="shared" si="61"/>
        <v/>
      </c>
      <c r="M815" s="9"/>
      <c r="N815" s="13" t="str">
        <f t="shared" si="62"/>
        <v/>
      </c>
      <c r="O815" s="22" t="str">
        <f t="shared" ca="1" si="63"/>
        <v/>
      </c>
      <c r="P815" s="17" t="str">
        <f t="shared" si="64"/>
        <v/>
      </c>
      <c r="Q815" s="11"/>
      <c r="R815" s="19"/>
      <c r="S815" s="19"/>
      <c r="U815">
        <f ca="1">IF(AND(ISNUMBER(O815),O815&lt;=設定!$C$4),1,0)</f>
        <v>0</v>
      </c>
      <c r="V815" t="str">
        <f ca="1">IF(U815=1,SUM($U$10:U815),"")</f>
        <v/>
      </c>
    </row>
    <row r="816" spans="2:22">
      <c r="B816" s="8" t="str">
        <f>IF(C816="","",COUNT($C$10:C816))</f>
        <v/>
      </c>
      <c r="C816" s="20"/>
      <c r="D816" s="11"/>
      <c r="E816" s="9"/>
      <c r="F816" s="21" t="str">
        <f>IF(E816="","",IFERROR(INDEX(食材マスタ!$D$10:$D$309,MATCH(E816,食材マスタ!$C$10:$C$309,0)),"※コード未登録"))</f>
        <v/>
      </c>
      <c r="G816" s="16"/>
      <c r="H816" s="8" t="str">
        <f>IF(E816="","",IFERROR(INDEX(食材マスタ!$H$10:$H$309,MATCH(E816,食材マスタ!$C$10:$C$309,0)),""))</f>
        <v/>
      </c>
      <c r="I816" s="15" t="str">
        <f>IF(E816="","",IFERROR(INDEX(食材マスタ!$K$10:$K$309,MATCH(E816,食材マスタ!$C$10:$C$309,0)),""))</f>
        <v/>
      </c>
      <c r="J816" s="15" t="str">
        <f t="shared" si="60"/>
        <v/>
      </c>
      <c r="K816" s="20"/>
      <c r="L816" s="8" t="str">
        <f t="shared" si="61"/>
        <v/>
      </c>
      <c r="M816" s="9"/>
      <c r="N816" s="13" t="str">
        <f t="shared" si="62"/>
        <v/>
      </c>
      <c r="O816" s="22" t="str">
        <f t="shared" ca="1" si="63"/>
        <v/>
      </c>
      <c r="P816" s="17" t="str">
        <f t="shared" si="64"/>
        <v/>
      </c>
      <c r="Q816" s="11"/>
      <c r="R816" s="19"/>
      <c r="S816" s="19"/>
      <c r="U816">
        <f ca="1">IF(AND(ISNUMBER(O816),O816&lt;=設定!$C$4),1,0)</f>
        <v>0</v>
      </c>
      <c r="V816" t="str">
        <f ca="1">IF(U816=1,SUM($U$10:U816),"")</f>
        <v/>
      </c>
    </row>
    <row r="817" spans="2:22">
      <c r="B817" s="8" t="str">
        <f>IF(C817="","",COUNT($C$10:C817))</f>
        <v/>
      </c>
      <c r="C817" s="20"/>
      <c r="D817" s="11"/>
      <c r="E817" s="9"/>
      <c r="F817" s="21" t="str">
        <f>IF(E817="","",IFERROR(INDEX(食材マスタ!$D$10:$D$309,MATCH(E817,食材マスタ!$C$10:$C$309,0)),"※コード未登録"))</f>
        <v/>
      </c>
      <c r="G817" s="16"/>
      <c r="H817" s="8" t="str">
        <f>IF(E817="","",IFERROR(INDEX(食材マスタ!$H$10:$H$309,MATCH(E817,食材マスタ!$C$10:$C$309,0)),""))</f>
        <v/>
      </c>
      <c r="I817" s="15" t="str">
        <f>IF(E817="","",IFERROR(INDEX(食材マスタ!$K$10:$K$309,MATCH(E817,食材マスタ!$C$10:$C$309,0)),""))</f>
        <v/>
      </c>
      <c r="J817" s="15" t="str">
        <f t="shared" si="60"/>
        <v/>
      </c>
      <c r="K817" s="20"/>
      <c r="L817" s="8" t="str">
        <f t="shared" si="61"/>
        <v/>
      </c>
      <c r="M817" s="9"/>
      <c r="N817" s="13" t="str">
        <f t="shared" si="62"/>
        <v/>
      </c>
      <c r="O817" s="22" t="str">
        <f t="shared" ca="1" si="63"/>
        <v/>
      </c>
      <c r="P817" s="17" t="str">
        <f t="shared" si="64"/>
        <v/>
      </c>
      <c r="Q817" s="11"/>
      <c r="R817" s="19"/>
      <c r="S817" s="19"/>
      <c r="U817">
        <f ca="1">IF(AND(ISNUMBER(O817),O817&lt;=設定!$C$4),1,0)</f>
        <v>0</v>
      </c>
      <c r="V817" t="str">
        <f ca="1">IF(U817=1,SUM($U$10:U817),"")</f>
        <v/>
      </c>
    </row>
    <row r="818" spans="2:22">
      <c r="B818" s="8" t="str">
        <f>IF(C818="","",COUNT($C$10:C818))</f>
        <v/>
      </c>
      <c r="C818" s="20"/>
      <c r="D818" s="11"/>
      <c r="E818" s="9"/>
      <c r="F818" s="21" t="str">
        <f>IF(E818="","",IFERROR(INDEX(食材マスタ!$D$10:$D$309,MATCH(E818,食材マスタ!$C$10:$C$309,0)),"※コード未登録"))</f>
        <v/>
      </c>
      <c r="G818" s="16"/>
      <c r="H818" s="8" t="str">
        <f>IF(E818="","",IFERROR(INDEX(食材マスタ!$H$10:$H$309,MATCH(E818,食材マスタ!$C$10:$C$309,0)),""))</f>
        <v/>
      </c>
      <c r="I818" s="15" t="str">
        <f>IF(E818="","",IFERROR(INDEX(食材マスタ!$K$10:$K$309,MATCH(E818,食材マスタ!$C$10:$C$309,0)),""))</f>
        <v/>
      </c>
      <c r="J818" s="15" t="str">
        <f t="shared" si="60"/>
        <v/>
      </c>
      <c r="K818" s="20"/>
      <c r="L818" s="8" t="str">
        <f t="shared" si="61"/>
        <v/>
      </c>
      <c r="M818" s="9"/>
      <c r="N818" s="13" t="str">
        <f t="shared" si="62"/>
        <v/>
      </c>
      <c r="O818" s="22" t="str">
        <f t="shared" ca="1" si="63"/>
        <v/>
      </c>
      <c r="P818" s="17" t="str">
        <f t="shared" si="64"/>
        <v/>
      </c>
      <c r="Q818" s="11"/>
      <c r="R818" s="19"/>
      <c r="S818" s="19"/>
      <c r="U818">
        <f ca="1">IF(AND(ISNUMBER(O818),O818&lt;=設定!$C$4),1,0)</f>
        <v>0</v>
      </c>
      <c r="V818" t="str">
        <f ca="1">IF(U818=1,SUM($U$10:U818),"")</f>
        <v/>
      </c>
    </row>
    <row r="819" spans="2:22">
      <c r="B819" s="8" t="str">
        <f>IF(C819="","",COUNT($C$10:C819))</f>
        <v/>
      </c>
      <c r="C819" s="20"/>
      <c r="D819" s="11"/>
      <c r="E819" s="9"/>
      <c r="F819" s="21" t="str">
        <f>IF(E819="","",IFERROR(INDEX(食材マスタ!$D$10:$D$309,MATCH(E819,食材マスタ!$C$10:$C$309,0)),"※コード未登録"))</f>
        <v/>
      </c>
      <c r="G819" s="16"/>
      <c r="H819" s="8" t="str">
        <f>IF(E819="","",IFERROR(INDEX(食材マスタ!$H$10:$H$309,MATCH(E819,食材マスタ!$C$10:$C$309,0)),""))</f>
        <v/>
      </c>
      <c r="I819" s="15" t="str">
        <f>IF(E819="","",IFERROR(INDEX(食材マスタ!$K$10:$K$309,MATCH(E819,食材マスタ!$C$10:$C$309,0)),""))</f>
        <v/>
      </c>
      <c r="J819" s="15" t="str">
        <f t="shared" si="60"/>
        <v/>
      </c>
      <c r="K819" s="20"/>
      <c r="L819" s="8" t="str">
        <f t="shared" si="61"/>
        <v/>
      </c>
      <c r="M819" s="9"/>
      <c r="N819" s="13" t="str">
        <f t="shared" si="62"/>
        <v/>
      </c>
      <c r="O819" s="22" t="str">
        <f t="shared" ca="1" si="63"/>
        <v/>
      </c>
      <c r="P819" s="17" t="str">
        <f t="shared" si="64"/>
        <v/>
      </c>
      <c r="Q819" s="11"/>
      <c r="R819" s="19"/>
      <c r="S819" s="19"/>
      <c r="U819">
        <f ca="1">IF(AND(ISNUMBER(O819),O819&lt;=設定!$C$4),1,0)</f>
        <v>0</v>
      </c>
      <c r="V819" t="str">
        <f ca="1">IF(U819=1,SUM($U$10:U819),"")</f>
        <v/>
      </c>
    </row>
    <row r="820" spans="2:22">
      <c r="B820" s="8" t="str">
        <f>IF(C820="","",COUNT($C$10:C820))</f>
        <v/>
      </c>
      <c r="C820" s="20"/>
      <c r="D820" s="11"/>
      <c r="E820" s="9"/>
      <c r="F820" s="21" t="str">
        <f>IF(E820="","",IFERROR(INDEX(食材マスタ!$D$10:$D$309,MATCH(E820,食材マスタ!$C$10:$C$309,0)),"※コード未登録"))</f>
        <v/>
      </c>
      <c r="G820" s="16"/>
      <c r="H820" s="8" t="str">
        <f>IF(E820="","",IFERROR(INDEX(食材マスタ!$H$10:$H$309,MATCH(E820,食材マスタ!$C$10:$C$309,0)),""))</f>
        <v/>
      </c>
      <c r="I820" s="15" t="str">
        <f>IF(E820="","",IFERROR(INDEX(食材マスタ!$K$10:$K$309,MATCH(E820,食材マスタ!$C$10:$C$309,0)),""))</f>
        <v/>
      </c>
      <c r="J820" s="15" t="str">
        <f t="shared" si="60"/>
        <v/>
      </c>
      <c r="K820" s="20"/>
      <c r="L820" s="8" t="str">
        <f t="shared" si="61"/>
        <v/>
      </c>
      <c r="M820" s="9"/>
      <c r="N820" s="13" t="str">
        <f t="shared" si="62"/>
        <v/>
      </c>
      <c r="O820" s="22" t="str">
        <f t="shared" ca="1" si="63"/>
        <v/>
      </c>
      <c r="P820" s="17" t="str">
        <f t="shared" si="64"/>
        <v/>
      </c>
      <c r="Q820" s="11"/>
      <c r="R820" s="19"/>
      <c r="S820" s="19"/>
      <c r="U820">
        <f ca="1">IF(AND(ISNUMBER(O820),O820&lt;=設定!$C$4),1,0)</f>
        <v>0</v>
      </c>
      <c r="V820" t="str">
        <f ca="1">IF(U820=1,SUM($U$10:U820),"")</f>
        <v/>
      </c>
    </row>
    <row r="821" spans="2:22">
      <c r="B821" s="8" t="str">
        <f>IF(C821="","",COUNT($C$10:C821))</f>
        <v/>
      </c>
      <c r="C821" s="20"/>
      <c r="D821" s="11"/>
      <c r="E821" s="9"/>
      <c r="F821" s="21" t="str">
        <f>IF(E821="","",IFERROR(INDEX(食材マスタ!$D$10:$D$309,MATCH(E821,食材マスタ!$C$10:$C$309,0)),"※コード未登録"))</f>
        <v/>
      </c>
      <c r="G821" s="16"/>
      <c r="H821" s="8" t="str">
        <f>IF(E821="","",IFERROR(INDEX(食材マスタ!$H$10:$H$309,MATCH(E821,食材マスタ!$C$10:$C$309,0)),""))</f>
        <v/>
      </c>
      <c r="I821" s="15" t="str">
        <f>IF(E821="","",IFERROR(INDEX(食材マスタ!$K$10:$K$309,MATCH(E821,食材マスタ!$C$10:$C$309,0)),""))</f>
        <v/>
      </c>
      <c r="J821" s="15" t="str">
        <f t="shared" si="60"/>
        <v/>
      </c>
      <c r="K821" s="20"/>
      <c r="L821" s="8" t="str">
        <f t="shared" si="61"/>
        <v/>
      </c>
      <c r="M821" s="9"/>
      <c r="N821" s="13" t="str">
        <f t="shared" si="62"/>
        <v/>
      </c>
      <c r="O821" s="22" t="str">
        <f t="shared" ca="1" si="63"/>
        <v/>
      </c>
      <c r="P821" s="17" t="str">
        <f t="shared" si="64"/>
        <v/>
      </c>
      <c r="Q821" s="11"/>
      <c r="R821" s="19"/>
      <c r="S821" s="19"/>
      <c r="U821">
        <f ca="1">IF(AND(ISNUMBER(O821),O821&lt;=設定!$C$4),1,0)</f>
        <v>0</v>
      </c>
      <c r="V821" t="str">
        <f ca="1">IF(U821=1,SUM($U$10:U821),"")</f>
        <v/>
      </c>
    </row>
    <row r="822" spans="2:22">
      <c r="B822" s="8" t="str">
        <f>IF(C822="","",COUNT($C$10:C822))</f>
        <v/>
      </c>
      <c r="C822" s="20"/>
      <c r="D822" s="11"/>
      <c r="E822" s="9"/>
      <c r="F822" s="21" t="str">
        <f>IF(E822="","",IFERROR(INDEX(食材マスタ!$D$10:$D$309,MATCH(E822,食材マスタ!$C$10:$C$309,0)),"※コード未登録"))</f>
        <v/>
      </c>
      <c r="G822" s="16"/>
      <c r="H822" s="8" t="str">
        <f>IF(E822="","",IFERROR(INDEX(食材マスタ!$H$10:$H$309,MATCH(E822,食材マスタ!$C$10:$C$309,0)),""))</f>
        <v/>
      </c>
      <c r="I822" s="15" t="str">
        <f>IF(E822="","",IFERROR(INDEX(食材マスタ!$K$10:$K$309,MATCH(E822,食材マスタ!$C$10:$C$309,0)),""))</f>
        <v/>
      </c>
      <c r="J822" s="15" t="str">
        <f t="shared" si="60"/>
        <v/>
      </c>
      <c r="K822" s="20"/>
      <c r="L822" s="8" t="str">
        <f t="shared" si="61"/>
        <v/>
      </c>
      <c r="M822" s="9"/>
      <c r="N822" s="13" t="str">
        <f t="shared" si="62"/>
        <v/>
      </c>
      <c r="O822" s="22" t="str">
        <f t="shared" ca="1" si="63"/>
        <v/>
      </c>
      <c r="P822" s="17" t="str">
        <f t="shared" si="64"/>
        <v/>
      </c>
      <c r="Q822" s="11"/>
      <c r="R822" s="19"/>
      <c r="S822" s="19"/>
      <c r="U822">
        <f ca="1">IF(AND(ISNUMBER(O822),O822&lt;=設定!$C$4),1,0)</f>
        <v>0</v>
      </c>
      <c r="V822" t="str">
        <f ca="1">IF(U822=1,SUM($U$10:U822),"")</f>
        <v/>
      </c>
    </row>
    <row r="823" spans="2:22">
      <c r="B823" s="8" t="str">
        <f>IF(C823="","",COUNT($C$10:C823))</f>
        <v/>
      </c>
      <c r="C823" s="20"/>
      <c r="D823" s="11"/>
      <c r="E823" s="9"/>
      <c r="F823" s="21" t="str">
        <f>IF(E823="","",IFERROR(INDEX(食材マスタ!$D$10:$D$309,MATCH(E823,食材マスタ!$C$10:$C$309,0)),"※コード未登録"))</f>
        <v/>
      </c>
      <c r="G823" s="16"/>
      <c r="H823" s="8" t="str">
        <f>IF(E823="","",IFERROR(INDEX(食材マスタ!$H$10:$H$309,MATCH(E823,食材マスタ!$C$10:$C$309,0)),""))</f>
        <v/>
      </c>
      <c r="I823" s="15" t="str">
        <f>IF(E823="","",IFERROR(INDEX(食材マスタ!$K$10:$K$309,MATCH(E823,食材マスタ!$C$10:$C$309,0)),""))</f>
        <v/>
      </c>
      <c r="J823" s="15" t="str">
        <f t="shared" si="60"/>
        <v/>
      </c>
      <c r="K823" s="20"/>
      <c r="L823" s="8" t="str">
        <f t="shared" si="61"/>
        <v/>
      </c>
      <c r="M823" s="9"/>
      <c r="N823" s="13" t="str">
        <f t="shared" si="62"/>
        <v/>
      </c>
      <c r="O823" s="22" t="str">
        <f t="shared" ca="1" si="63"/>
        <v/>
      </c>
      <c r="P823" s="17" t="str">
        <f t="shared" si="64"/>
        <v/>
      </c>
      <c r="Q823" s="11"/>
      <c r="R823" s="19"/>
      <c r="S823" s="19"/>
      <c r="U823">
        <f ca="1">IF(AND(ISNUMBER(O823),O823&lt;=設定!$C$4),1,0)</f>
        <v>0</v>
      </c>
      <c r="V823" t="str">
        <f ca="1">IF(U823=1,SUM($U$10:U823),"")</f>
        <v/>
      </c>
    </row>
    <row r="824" spans="2:22">
      <c r="B824" s="8" t="str">
        <f>IF(C824="","",COUNT($C$10:C824))</f>
        <v/>
      </c>
      <c r="C824" s="20"/>
      <c r="D824" s="11"/>
      <c r="E824" s="9"/>
      <c r="F824" s="21" t="str">
        <f>IF(E824="","",IFERROR(INDEX(食材マスタ!$D$10:$D$309,MATCH(E824,食材マスタ!$C$10:$C$309,0)),"※コード未登録"))</f>
        <v/>
      </c>
      <c r="G824" s="16"/>
      <c r="H824" s="8" t="str">
        <f>IF(E824="","",IFERROR(INDEX(食材マスタ!$H$10:$H$309,MATCH(E824,食材マスタ!$C$10:$C$309,0)),""))</f>
        <v/>
      </c>
      <c r="I824" s="15" t="str">
        <f>IF(E824="","",IFERROR(INDEX(食材マスタ!$K$10:$K$309,MATCH(E824,食材マスタ!$C$10:$C$309,0)),""))</f>
        <v/>
      </c>
      <c r="J824" s="15" t="str">
        <f t="shared" si="60"/>
        <v/>
      </c>
      <c r="K824" s="20"/>
      <c r="L824" s="8" t="str">
        <f t="shared" si="61"/>
        <v/>
      </c>
      <c r="M824" s="9"/>
      <c r="N824" s="13" t="str">
        <f t="shared" si="62"/>
        <v/>
      </c>
      <c r="O824" s="22" t="str">
        <f t="shared" ca="1" si="63"/>
        <v/>
      </c>
      <c r="P824" s="17" t="str">
        <f t="shared" si="64"/>
        <v/>
      </c>
      <c r="Q824" s="11"/>
      <c r="R824" s="19"/>
      <c r="S824" s="19"/>
      <c r="U824">
        <f ca="1">IF(AND(ISNUMBER(O824),O824&lt;=設定!$C$4),1,0)</f>
        <v>0</v>
      </c>
      <c r="V824" t="str">
        <f ca="1">IF(U824=1,SUM($U$10:U824),"")</f>
        <v/>
      </c>
    </row>
    <row r="825" spans="2:22">
      <c r="B825" s="8" t="str">
        <f>IF(C825="","",COUNT($C$10:C825))</f>
        <v/>
      </c>
      <c r="C825" s="20"/>
      <c r="D825" s="11"/>
      <c r="E825" s="9"/>
      <c r="F825" s="21" t="str">
        <f>IF(E825="","",IFERROR(INDEX(食材マスタ!$D$10:$D$309,MATCH(E825,食材マスタ!$C$10:$C$309,0)),"※コード未登録"))</f>
        <v/>
      </c>
      <c r="G825" s="16"/>
      <c r="H825" s="8" t="str">
        <f>IF(E825="","",IFERROR(INDEX(食材マスタ!$H$10:$H$309,MATCH(E825,食材マスタ!$C$10:$C$309,0)),""))</f>
        <v/>
      </c>
      <c r="I825" s="15" t="str">
        <f>IF(E825="","",IFERROR(INDEX(食材マスタ!$K$10:$K$309,MATCH(E825,食材マスタ!$C$10:$C$309,0)),""))</f>
        <v/>
      </c>
      <c r="J825" s="15" t="str">
        <f t="shared" si="60"/>
        <v/>
      </c>
      <c r="K825" s="20"/>
      <c r="L825" s="8" t="str">
        <f t="shared" si="61"/>
        <v/>
      </c>
      <c r="M825" s="9"/>
      <c r="N825" s="13" t="str">
        <f t="shared" si="62"/>
        <v/>
      </c>
      <c r="O825" s="22" t="str">
        <f t="shared" ca="1" si="63"/>
        <v/>
      </c>
      <c r="P825" s="17" t="str">
        <f t="shared" si="64"/>
        <v/>
      </c>
      <c r="Q825" s="11"/>
      <c r="R825" s="19"/>
      <c r="S825" s="19"/>
      <c r="U825">
        <f ca="1">IF(AND(ISNUMBER(O825),O825&lt;=設定!$C$4),1,0)</f>
        <v>0</v>
      </c>
      <c r="V825" t="str">
        <f ca="1">IF(U825=1,SUM($U$10:U825),"")</f>
        <v/>
      </c>
    </row>
    <row r="826" spans="2:22">
      <c r="B826" s="8" t="str">
        <f>IF(C826="","",COUNT($C$10:C826))</f>
        <v/>
      </c>
      <c r="C826" s="20"/>
      <c r="D826" s="11"/>
      <c r="E826" s="9"/>
      <c r="F826" s="21" t="str">
        <f>IF(E826="","",IFERROR(INDEX(食材マスタ!$D$10:$D$309,MATCH(E826,食材マスタ!$C$10:$C$309,0)),"※コード未登録"))</f>
        <v/>
      </c>
      <c r="G826" s="16"/>
      <c r="H826" s="8" t="str">
        <f>IF(E826="","",IFERROR(INDEX(食材マスタ!$H$10:$H$309,MATCH(E826,食材マスタ!$C$10:$C$309,0)),""))</f>
        <v/>
      </c>
      <c r="I826" s="15" t="str">
        <f>IF(E826="","",IFERROR(INDEX(食材マスタ!$K$10:$K$309,MATCH(E826,食材マスタ!$C$10:$C$309,0)),""))</f>
        <v/>
      </c>
      <c r="J826" s="15" t="str">
        <f t="shared" si="60"/>
        <v/>
      </c>
      <c r="K826" s="20"/>
      <c r="L826" s="8" t="str">
        <f t="shared" si="61"/>
        <v/>
      </c>
      <c r="M826" s="9"/>
      <c r="N826" s="13" t="str">
        <f t="shared" si="62"/>
        <v/>
      </c>
      <c r="O826" s="22" t="str">
        <f t="shared" ca="1" si="63"/>
        <v/>
      </c>
      <c r="P826" s="17" t="str">
        <f t="shared" si="64"/>
        <v/>
      </c>
      <c r="Q826" s="11"/>
      <c r="R826" s="19"/>
      <c r="S826" s="19"/>
      <c r="U826">
        <f ca="1">IF(AND(ISNUMBER(O826),O826&lt;=設定!$C$4),1,0)</f>
        <v>0</v>
      </c>
      <c r="V826" t="str">
        <f ca="1">IF(U826=1,SUM($U$10:U826),"")</f>
        <v/>
      </c>
    </row>
    <row r="827" spans="2:22">
      <c r="B827" s="8" t="str">
        <f>IF(C827="","",COUNT($C$10:C827))</f>
        <v/>
      </c>
      <c r="C827" s="20"/>
      <c r="D827" s="11"/>
      <c r="E827" s="9"/>
      <c r="F827" s="21" t="str">
        <f>IF(E827="","",IFERROR(INDEX(食材マスタ!$D$10:$D$309,MATCH(E827,食材マスタ!$C$10:$C$309,0)),"※コード未登録"))</f>
        <v/>
      </c>
      <c r="G827" s="16"/>
      <c r="H827" s="8" t="str">
        <f>IF(E827="","",IFERROR(INDEX(食材マスタ!$H$10:$H$309,MATCH(E827,食材マスタ!$C$10:$C$309,0)),""))</f>
        <v/>
      </c>
      <c r="I827" s="15" t="str">
        <f>IF(E827="","",IFERROR(INDEX(食材マスタ!$K$10:$K$309,MATCH(E827,食材マスタ!$C$10:$C$309,0)),""))</f>
        <v/>
      </c>
      <c r="J827" s="15" t="str">
        <f t="shared" si="60"/>
        <v/>
      </c>
      <c r="K827" s="20"/>
      <c r="L827" s="8" t="str">
        <f t="shared" si="61"/>
        <v/>
      </c>
      <c r="M827" s="9"/>
      <c r="N827" s="13" t="str">
        <f t="shared" si="62"/>
        <v/>
      </c>
      <c r="O827" s="22" t="str">
        <f t="shared" ca="1" si="63"/>
        <v/>
      </c>
      <c r="P827" s="17" t="str">
        <f t="shared" si="64"/>
        <v/>
      </c>
      <c r="Q827" s="11"/>
      <c r="R827" s="19"/>
      <c r="S827" s="19"/>
      <c r="U827">
        <f ca="1">IF(AND(ISNUMBER(O827),O827&lt;=設定!$C$4),1,0)</f>
        <v>0</v>
      </c>
      <c r="V827" t="str">
        <f ca="1">IF(U827=1,SUM($U$10:U827),"")</f>
        <v/>
      </c>
    </row>
    <row r="828" spans="2:22">
      <c r="B828" s="8" t="str">
        <f>IF(C828="","",COUNT($C$10:C828))</f>
        <v/>
      </c>
      <c r="C828" s="20"/>
      <c r="D828" s="11"/>
      <c r="E828" s="9"/>
      <c r="F828" s="21" t="str">
        <f>IF(E828="","",IFERROR(INDEX(食材マスタ!$D$10:$D$309,MATCH(E828,食材マスタ!$C$10:$C$309,0)),"※コード未登録"))</f>
        <v/>
      </c>
      <c r="G828" s="16"/>
      <c r="H828" s="8" t="str">
        <f>IF(E828="","",IFERROR(INDEX(食材マスタ!$H$10:$H$309,MATCH(E828,食材マスタ!$C$10:$C$309,0)),""))</f>
        <v/>
      </c>
      <c r="I828" s="15" t="str">
        <f>IF(E828="","",IFERROR(INDEX(食材マスタ!$K$10:$K$309,MATCH(E828,食材マスタ!$C$10:$C$309,0)),""))</f>
        <v/>
      </c>
      <c r="J828" s="15" t="str">
        <f t="shared" si="60"/>
        <v/>
      </c>
      <c r="K828" s="20"/>
      <c r="L828" s="8" t="str">
        <f t="shared" si="61"/>
        <v/>
      </c>
      <c r="M828" s="9"/>
      <c r="N828" s="13" t="str">
        <f t="shared" si="62"/>
        <v/>
      </c>
      <c r="O828" s="22" t="str">
        <f t="shared" ca="1" si="63"/>
        <v/>
      </c>
      <c r="P828" s="17" t="str">
        <f t="shared" si="64"/>
        <v/>
      </c>
      <c r="Q828" s="11"/>
      <c r="R828" s="19"/>
      <c r="S828" s="19"/>
      <c r="U828">
        <f ca="1">IF(AND(ISNUMBER(O828),O828&lt;=設定!$C$4),1,0)</f>
        <v>0</v>
      </c>
      <c r="V828" t="str">
        <f ca="1">IF(U828=1,SUM($U$10:U828),"")</f>
        <v/>
      </c>
    </row>
    <row r="829" spans="2:22">
      <c r="B829" s="8" t="str">
        <f>IF(C829="","",COUNT($C$10:C829))</f>
        <v/>
      </c>
      <c r="C829" s="20"/>
      <c r="D829" s="11"/>
      <c r="E829" s="9"/>
      <c r="F829" s="21" t="str">
        <f>IF(E829="","",IFERROR(INDEX(食材マスタ!$D$10:$D$309,MATCH(E829,食材マスタ!$C$10:$C$309,0)),"※コード未登録"))</f>
        <v/>
      </c>
      <c r="G829" s="16"/>
      <c r="H829" s="8" t="str">
        <f>IF(E829="","",IFERROR(INDEX(食材マスタ!$H$10:$H$309,MATCH(E829,食材マスタ!$C$10:$C$309,0)),""))</f>
        <v/>
      </c>
      <c r="I829" s="15" t="str">
        <f>IF(E829="","",IFERROR(INDEX(食材マスタ!$K$10:$K$309,MATCH(E829,食材マスタ!$C$10:$C$309,0)),""))</f>
        <v/>
      </c>
      <c r="J829" s="15" t="str">
        <f t="shared" si="60"/>
        <v/>
      </c>
      <c r="K829" s="20"/>
      <c r="L829" s="8" t="str">
        <f t="shared" si="61"/>
        <v/>
      </c>
      <c r="M829" s="9"/>
      <c r="N829" s="13" t="str">
        <f t="shared" si="62"/>
        <v/>
      </c>
      <c r="O829" s="22" t="str">
        <f t="shared" ca="1" si="63"/>
        <v/>
      </c>
      <c r="P829" s="17" t="str">
        <f t="shared" si="64"/>
        <v/>
      </c>
      <c r="Q829" s="11"/>
      <c r="R829" s="19"/>
      <c r="S829" s="19"/>
      <c r="U829">
        <f ca="1">IF(AND(ISNUMBER(O829),O829&lt;=設定!$C$4),1,0)</f>
        <v>0</v>
      </c>
      <c r="V829" t="str">
        <f ca="1">IF(U829=1,SUM($U$10:U829),"")</f>
        <v/>
      </c>
    </row>
    <row r="830" spans="2:22">
      <c r="B830" s="8" t="str">
        <f>IF(C830="","",COUNT($C$10:C830))</f>
        <v/>
      </c>
      <c r="C830" s="20"/>
      <c r="D830" s="11"/>
      <c r="E830" s="9"/>
      <c r="F830" s="21" t="str">
        <f>IF(E830="","",IFERROR(INDEX(食材マスタ!$D$10:$D$309,MATCH(E830,食材マスタ!$C$10:$C$309,0)),"※コード未登録"))</f>
        <v/>
      </c>
      <c r="G830" s="16"/>
      <c r="H830" s="8" t="str">
        <f>IF(E830="","",IFERROR(INDEX(食材マスタ!$H$10:$H$309,MATCH(E830,食材マスタ!$C$10:$C$309,0)),""))</f>
        <v/>
      </c>
      <c r="I830" s="15" t="str">
        <f>IF(E830="","",IFERROR(INDEX(食材マスタ!$K$10:$K$309,MATCH(E830,食材マスタ!$C$10:$C$309,0)),""))</f>
        <v/>
      </c>
      <c r="J830" s="15" t="str">
        <f t="shared" si="60"/>
        <v/>
      </c>
      <c r="K830" s="20"/>
      <c r="L830" s="8" t="str">
        <f t="shared" si="61"/>
        <v/>
      </c>
      <c r="M830" s="9"/>
      <c r="N830" s="13" t="str">
        <f t="shared" si="62"/>
        <v/>
      </c>
      <c r="O830" s="22" t="str">
        <f t="shared" ca="1" si="63"/>
        <v/>
      </c>
      <c r="P830" s="17" t="str">
        <f t="shared" si="64"/>
        <v/>
      </c>
      <c r="Q830" s="11"/>
      <c r="R830" s="19"/>
      <c r="S830" s="19"/>
      <c r="U830">
        <f ca="1">IF(AND(ISNUMBER(O830),O830&lt;=設定!$C$4),1,0)</f>
        <v>0</v>
      </c>
      <c r="V830" t="str">
        <f ca="1">IF(U830=1,SUM($U$10:U830),"")</f>
        <v/>
      </c>
    </row>
    <row r="831" spans="2:22">
      <c r="B831" s="8" t="str">
        <f>IF(C831="","",COUNT($C$10:C831))</f>
        <v/>
      </c>
      <c r="C831" s="20"/>
      <c r="D831" s="11"/>
      <c r="E831" s="9"/>
      <c r="F831" s="21" t="str">
        <f>IF(E831="","",IFERROR(INDEX(食材マスタ!$D$10:$D$309,MATCH(E831,食材マスタ!$C$10:$C$309,0)),"※コード未登録"))</f>
        <v/>
      </c>
      <c r="G831" s="16"/>
      <c r="H831" s="8" t="str">
        <f>IF(E831="","",IFERROR(INDEX(食材マスタ!$H$10:$H$309,MATCH(E831,食材マスタ!$C$10:$C$309,0)),""))</f>
        <v/>
      </c>
      <c r="I831" s="15" t="str">
        <f>IF(E831="","",IFERROR(INDEX(食材マスタ!$K$10:$K$309,MATCH(E831,食材マスタ!$C$10:$C$309,0)),""))</f>
        <v/>
      </c>
      <c r="J831" s="15" t="str">
        <f t="shared" si="60"/>
        <v/>
      </c>
      <c r="K831" s="20"/>
      <c r="L831" s="8" t="str">
        <f t="shared" si="61"/>
        <v/>
      </c>
      <c r="M831" s="9"/>
      <c r="N831" s="13" t="str">
        <f t="shared" si="62"/>
        <v/>
      </c>
      <c r="O831" s="22" t="str">
        <f t="shared" ca="1" si="63"/>
        <v/>
      </c>
      <c r="P831" s="17" t="str">
        <f t="shared" si="64"/>
        <v/>
      </c>
      <c r="Q831" s="11"/>
      <c r="R831" s="19"/>
      <c r="S831" s="19"/>
      <c r="U831">
        <f ca="1">IF(AND(ISNUMBER(O831),O831&lt;=設定!$C$4),1,0)</f>
        <v>0</v>
      </c>
      <c r="V831" t="str">
        <f ca="1">IF(U831=1,SUM($U$10:U831),"")</f>
        <v/>
      </c>
    </row>
    <row r="832" spans="2:22">
      <c r="B832" s="8" t="str">
        <f>IF(C832="","",COUNT($C$10:C832))</f>
        <v/>
      </c>
      <c r="C832" s="20"/>
      <c r="D832" s="11"/>
      <c r="E832" s="9"/>
      <c r="F832" s="21" t="str">
        <f>IF(E832="","",IFERROR(INDEX(食材マスタ!$D$10:$D$309,MATCH(E832,食材マスタ!$C$10:$C$309,0)),"※コード未登録"))</f>
        <v/>
      </c>
      <c r="G832" s="16"/>
      <c r="H832" s="8" t="str">
        <f>IF(E832="","",IFERROR(INDEX(食材マスタ!$H$10:$H$309,MATCH(E832,食材マスタ!$C$10:$C$309,0)),""))</f>
        <v/>
      </c>
      <c r="I832" s="15" t="str">
        <f>IF(E832="","",IFERROR(INDEX(食材マスタ!$K$10:$K$309,MATCH(E832,食材マスタ!$C$10:$C$309,0)),""))</f>
        <v/>
      </c>
      <c r="J832" s="15" t="str">
        <f t="shared" si="60"/>
        <v/>
      </c>
      <c r="K832" s="20"/>
      <c r="L832" s="8" t="str">
        <f t="shared" si="61"/>
        <v/>
      </c>
      <c r="M832" s="9"/>
      <c r="N832" s="13" t="str">
        <f t="shared" si="62"/>
        <v/>
      </c>
      <c r="O832" s="22" t="str">
        <f t="shared" ca="1" si="63"/>
        <v/>
      </c>
      <c r="P832" s="17" t="str">
        <f t="shared" si="64"/>
        <v/>
      </c>
      <c r="Q832" s="11"/>
      <c r="R832" s="19"/>
      <c r="S832" s="19"/>
      <c r="U832">
        <f ca="1">IF(AND(ISNUMBER(O832),O832&lt;=設定!$C$4),1,0)</f>
        <v>0</v>
      </c>
      <c r="V832" t="str">
        <f ca="1">IF(U832=1,SUM($U$10:U832),"")</f>
        <v/>
      </c>
    </row>
    <row r="833" spans="2:22">
      <c r="B833" s="8" t="str">
        <f>IF(C833="","",COUNT($C$10:C833))</f>
        <v/>
      </c>
      <c r="C833" s="20"/>
      <c r="D833" s="11"/>
      <c r="E833" s="9"/>
      <c r="F833" s="21" t="str">
        <f>IF(E833="","",IFERROR(INDEX(食材マスタ!$D$10:$D$309,MATCH(E833,食材マスタ!$C$10:$C$309,0)),"※コード未登録"))</f>
        <v/>
      </c>
      <c r="G833" s="16"/>
      <c r="H833" s="8" t="str">
        <f>IF(E833="","",IFERROR(INDEX(食材マスタ!$H$10:$H$309,MATCH(E833,食材マスタ!$C$10:$C$309,0)),""))</f>
        <v/>
      </c>
      <c r="I833" s="15" t="str">
        <f>IF(E833="","",IFERROR(INDEX(食材マスタ!$K$10:$K$309,MATCH(E833,食材マスタ!$C$10:$C$309,0)),""))</f>
        <v/>
      </c>
      <c r="J833" s="15" t="str">
        <f t="shared" si="60"/>
        <v/>
      </c>
      <c r="K833" s="20"/>
      <c r="L833" s="8" t="str">
        <f t="shared" si="61"/>
        <v/>
      </c>
      <c r="M833" s="9"/>
      <c r="N833" s="13" t="str">
        <f t="shared" si="62"/>
        <v/>
      </c>
      <c r="O833" s="22" t="str">
        <f t="shared" ca="1" si="63"/>
        <v/>
      </c>
      <c r="P833" s="17" t="str">
        <f t="shared" si="64"/>
        <v/>
      </c>
      <c r="Q833" s="11"/>
      <c r="R833" s="19"/>
      <c r="S833" s="19"/>
      <c r="U833">
        <f ca="1">IF(AND(ISNUMBER(O833),O833&lt;=設定!$C$4),1,0)</f>
        <v>0</v>
      </c>
      <c r="V833" t="str">
        <f ca="1">IF(U833=1,SUM($U$10:U833),"")</f>
        <v/>
      </c>
    </row>
    <row r="834" spans="2:22">
      <c r="B834" s="8" t="str">
        <f>IF(C834="","",COUNT($C$10:C834))</f>
        <v/>
      </c>
      <c r="C834" s="20"/>
      <c r="D834" s="11"/>
      <c r="E834" s="9"/>
      <c r="F834" s="21" t="str">
        <f>IF(E834="","",IFERROR(INDEX(食材マスタ!$D$10:$D$309,MATCH(E834,食材マスタ!$C$10:$C$309,0)),"※コード未登録"))</f>
        <v/>
      </c>
      <c r="G834" s="16"/>
      <c r="H834" s="8" t="str">
        <f>IF(E834="","",IFERROR(INDEX(食材マスタ!$H$10:$H$309,MATCH(E834,食材マスタ!$C$10:$C$309,0)),""))</f>
        <v/>
      </c>
      <c r="I834" s="15" t="str">
        <f>IF(E834="","",IFERROR(INDEX(食材マスタ!$K$10:$K$309,MATCH(E834,食材マスタ!$C$10:$C$309,0)),""))</f>
        <v/>
      </c>
      <c r="J834" s="15" t="str">
        <f t="shared" si="60"/>
        <v/>
      </c>
      <c r="K834" s="20"/>
      <c r="L834" s="8" t="str">
        <f t="shared" si="61"/>
        <v/>
      </c>
      <c r="M834" s="9"/>
      <c r="N834" s="13" t="str">
        <f t="shared" si="62"/>
        <v/>
      </c>
      <c r="O834" s="22" t="str">
        <f t="shared" ca="1" si="63"/>
        <v/>
      </c>
      <c r="P834" s="17" t="str">
        <f t="shared" si="64"/>
        <v/>
      </c>
      <c r="Q834" s="11"/>
      <c r="R834" s="19"/>
      <c r="S834" s="19"/>
      <c r="U834">
        <f ca="1">IF(AND(ISNUMBER(O834),O834&lt;=設定!$C$4),1,0)</f>
        <v>0</v>
      </c>
      <c r="V834" t="str">
        <f ca="1">IF(U834=1,SUM($U$10:U834),"")</f>
        <v/>
      </c>
    </row>
    <row r="835" spans="2:22">
      <c r="B835" s="8" t="str">
        <f>IF(C835="","",COUNT($C$10:C835))</f>
        <v/>
      </c>
      <c r="C835" s="20"/>
      <c r="D835" s="11"/>
      <c r="E835" s="9"/>
      <c r="F835" s="21" t="str">
        <f>IF(E835="","",IFERROR(INDEX(食材マスタ!$D$10:$D$309,MATCH(E835,食材マスタ!$C$10:$C$309,0)),"※コード未登録"))</f>
        <v/>
      </c>
      <c r="G835" s="16"/>
      <c r="H835" s="8" t="str">
        <f>IF(E835="","",IFERROR(INDEX(食材マスタ!$H$10:$H$309,MATCH(E835,食材マスタ!$C$10:$C$309,0)),""))</f>
        <v/>
      </c>
      <c r="I835" s="15" t="str">
        <f>IF(E835="","",IFERROR(INDEX(食材マスタ!$K$10:$K$309,MATCH(E835,食材マスタ!$C$10:$C$309,0)),""))</f>
        <v/>
      </c>
      <c r="J835" s="15" t="str">
        <f t="shared" si="60"/>
        <v/>
      </c>
      <c r="K835" s="20"/>
      <c r="L835" s="8" t="str">
        <f t="shared" si="61"/>
        <v/>
      </c>
      <c r="M835" s="9"/>
      <c r="N835" s="13" t="str">
        <f t="shared" si="62"/>
        <v/>
      </c>
      <c r="O835" s="22" t="str">
        <f t="shared" ca="1" si="63"/>
        <v/>
      </c>
      <c r="P835" s="17" t="str">
        <f t="shared" si="64"/>
        <v/>
      </c>
      <c r="Q835" s="11"/>
      <c r="R835" s="19"/>
      <c r="S835" s="19"/>
      <c r="U835">
        <f ca="1">IF(AND(ISNUMBER(O835),O835&lt;=設定!$C$4),1,0)</f>
        <v>0</v>
      </c>
      <c r="V835" t="str">
        <f ca="1">IF(U835=1,SUM($U$10:U835),"")</f>
        <v/>
      </c>
    </row>
    <row r="836" spans="2:22">
      <c r="B836" s="8" t="str">
        <f>IF(C836="","",COUNT($C$10:C836))</f>
        <v/>
      </c>
      <c r="C836" s="20"/>
      <c r="D836" s="11"/>
      <c r="E836" s="9"/>
      <c r="F836" s="21" t="str">
        <f>IF(E836="","",IFERROR(INDEX(食材マスタ!$D$10:$D$309,MATCH(E836,食材マスタ!$C$10:$C$309,0)),"※コード未登録"))</f>
        <v/>
      </c>
      <c r="G836" s="16"/>
      <c r="H836" s="8" t="str">
        <f>IF(E836="","",IFERROR(INDEX(食材マスタ!$H$10:$H$309,MATCH(E836,食材マスタ!$C$10:$C$309,0)),""))</f>
        <v/>
      </c>
      <c r="I836" s="15" t="str">
        <f>IF(E836="","",IFERROR(INDEX(食材マスタ!$K$10:$K$309,MATCH(E836,食材マスタ!$C$10:$C$309,0)),""))</f>
        <v/>
      </c>
      <c r="J836" s="15" t="str">
        <f t="shared" si="60"/>
        <v/>
      </c>
      <c r="K836" s="20"/>
      <c r="L836" s="8" t="str">
        <f t="shared" si="61"/>
        <v/>
      </c>
      <c r="M836" s="9"/>
      <c r="N836" s="13" t="str">
        <f t="shared" si="62"/>
        <v/>
      </c>
      <c r="O836" s="22" t="str">
        <f t="shared" ca="1" si="63"/>
        <v/>
      </c>
      <c r="P836" s="17" t="str">
        <f t="shared" si="64"/>
        <v/>
      </c>
      <c r="Q836" s="11"/>
      <c r="R836" s="19"/>
      <c r="S836" s="19"/>
      <c r="U836">
        <f ca="1">IF(AND(ISNUMBER(O836),O836&lt;=設定!$C$4),1,0)</f>
        <v>0</v>
      </c>
      <c r="V836" t="str">
        <f ca="1">IF(U836=1,SUM($U$10:U836),"")</f>
        <v/>
      </c>
    </row>
    <row r="837" spans="2:22">
      <c r="B837" s="8" t="str">
        <f>IF(C837="","",COUNT($C$10:C837))</f>
        <v/>
      </c>
      <c r="C837" s="20"/>
      <c r="D837" s="11"/>
      <c r="E837" s="9"/>
      <c r="F837" s="21" t="str">
        <f>IF(E837="","",IFERROR(INDEX(食材マスタ!$D$10:$D$309,MATCH(E837,食材マスタ!$C$10:$C$309,0)),"※コード未登録"))</f>
        <v/>
      </c>
      <c r="G837" s="16"/>
      <c r="H837" s="8" t="str">
        <f>IF(E837="","",IFERROR(INDEX(食材マスタ!$H$10:$H$309,MATCH(E837,食材マスタ!$C$10:$C$309,0)),""))</f>
        <v/>
      </c>
      <c r="I837" s="15" t="str">
        <f>IF(E837="","",IFERROR(INDEX(食材マスタ!$K$10:$K$309,MATCH(E837,食材マスタ!$C$10:$C$309,0)),""))</f>
        <v/>
      </c>
      <c r="J837" s="15" t="str">
        <f t="shared" si="60"/>
        <v/>
      </c>
      <c r="K837" s="20"/>
      <c r="L837" s="8" t="str">
        <f t="shared" si="61"/>
        <v/>
      </c>
      <c r="M837" s="9"/>
      <c r="N837" s="13" t="str">
        <f t="shared" si="62"/>
        <v/>
      </c>
      <c r="O837" s="22" t="str">
        <f t="shared" ca="1" si="63"/>
        <v/>
      </c>
      <c r="P837" s="17" t="str">
        <f t="shared" si="64"/>
        <v/>
      </c>
      <c r="Q837" s="11"/>
      <c r="R837" s="19"/>
      <c r="S837" s="19"/>
      <c r="U837">
        <f ca="1">IF(AND(ISNUMBER(O837),O837&lt;=設定!$C$4),1,0)</f>
        <v>0</v>
      </c>
      <c r="V837" t="str">
        <f ca="1">IF(U837=1,SUM($U$10:U837),"")</f>
        <v/>
      </c>
    </row>
    <row r="838" spans="2:22">
      <c r="B838" s="8" t="str">
        <f>IF(C838="","",COUNT($C$10:C838))</f>
        <v/>
      </c>
      <c r="C838" s="20"/>
      <c r="D838" s="11"/>
      <c r="E838" s="9"/>
      <c r="F838" s="21" t="str">
        <f>IF(E838="","",IFERROR(INDEX(食材マスタ!$D$10:$D$309,MATCH(E838,食材マスタ!$C$10:$C$309,0)),"※コード未登録"))</f>
        <v/>
      </c>
      <c r="G838" s="16"/>
      <c r="H838" s="8" t="str">
        <f>IF(E838="","",IFERROR(INDEX(食材マスタ!$H$10:$H$309,MATCH(E838,食材マスタ!$C$10:$C$309,0)),""))</f>
        <v/>
      </c>
      <c r="I838" s="15" t="str">
        <f>IF(E838="","",IFERROR(INDEX(食材マスタ!$K$10:$K$309,MATCH(E838,食材マスタ!$C$10:$C$309,0)),""))</f>
        <v/>
      </c>
      <c r="J838" s="15" t="str">
        <f t="shared" si="60"/>
        <v/>
      </c>
      <c r="K838" s="20"/>
      <c r="L838" s="8" t="str">
        <f t="shared" si="61"/>
        <v/>
      </c>
      <c r="M838" s="9"/>
      <c r="N838" s="13" t="str">
        <f t="shared" si="62"/>
        <v/>
      </c>
      <c r="O838" s="22" t="str">
        <f t="shared" ca="1" si="63"/>
        <v/>
      </c>
      <c r="P838" s="17" t="str">
        <f t="shared" si="64"/>
        <v/>
      </c>
      <c r="Q838" s="11"/>
      <c r="R838" s="19"/>
      <c r="S838" s="19"/>
      <c r="U838">
        <f ca="1">IF(AND(ISNUMBER(O838),O838&lt;=設定!$C$4),1,0)</f>
        <v>0</v>
      </c>
      <c r="V838" t="str">
        <f ca="1">IF(U838=1,SUM($U$10:U838),"")</f>
        <v/>
      </c>
    </row>
    <row r="839" spans="2:22">
      <c r="B839" s="8" t="str">
        <f>IF(C839="","",COUNT($C$10:C839))</f>
        <v/>
      </c>
      <c r="C839" s="20"/>
      <c r="D839" s="11"/>
      <c r="E839" s="9"/>
      <c r="F839" s="21" t="str">
        <f>IF(E839="","",IFERROR(INDEX(食材マスタ!$D$10:$D$309,MATCH(E839,食材マスタ!$C$10:$C$309,0)),"※コード未登録"))</f>
        <v/>
      </c>
      <c r="G839" s="16"/>
      <c r="H839" s="8" t="str">
        <f>IF(E839="","",IFERROR(INDEX(食材マスタ!$H$10:$H$309,MATCH(E839,食材マスタ!$C$10:$C$309,0)),""))</f>
        <v/>
      </c>
      <c r="I839" s="15" t="str">
        <f>IF(E839="","",IFERROR(INDEX(食材マスタ!$K$10:$K$309,MATCH(E839,食材マスタ!$C$10:$C$309,0)),""))</f>
        <v/>
      </c>
      <c r="J839" s="15" t="str">
        <f t="shared" si="60"/>
        <v/>
      </c>
      <c r="K839" s="20"/>
      <c r="L839" s="8" t="str">
        <f t="shared" si="61"/>
        <v/>
      </c>
      <c r="M839" s="9"/>
      <c r="N839" s="13" t="str">
        <f t="shared" si="62"/>
        <v/>
      </c>
      <c r="O839" s="22" t="str">
        <f t="shared" ca="1" si="63"/>
        <v/>
      </c>
      <c r="P839" s="17" t="str">
        <f t="shared" si="64"/>
        <v/>
      </c>
      <c r="Q839" s="11"/>
      <c r="R839" s="19"/>
      <c r="S839" s="19"/>
      <c r="U839">
        <f ca="1">IF(AND(ISNUMBER(O839),O839&lt;=設定!$C$4),1,0)</f>
        <v>0</v>
      </c>
      <c r="V839" t="str">
        <f ca="1">IF(U839=1,SUM($U$10:U839),"")</f>
        <v/>
      </c>
    </row>
    <row r="840" spans="2:22">
      <c r="B840" s="8" t="str">
        <f>IF(C840="","",COUNT($C$10:C840))</f>
        <v/>
      </c>
      <c r="C840" s="20"/>
      <c r="D840" s="11"/>
      <c r="E840" s="9"/>
      <c r="F840" s="21" t="str">
        <f>IF(E840="","",IFERROR(INDEX(食材マスタ!$D$10:$D$309,MATCH(E840,食材マスタ!$C$10:$C$309,0)),"※コード未登録"))</f>
        <v/>
      </c>
      <c r="G840" s="16"/>
      <c r="H840" s="8" t="str">
        <f>IF(E840="","",IFERROR(INDEX(食材マスタ!$H$10:$H$309,MATCH(E840,食材マスタ!$C$10:$C$309,0)),""))</f>
        <v/>
      </c>
      <c r="I840" s="15" t="str">
        <f>IF(E840="","",IFERROR(INDEX(食材マスタ!$K$10:$K$309,MATCH(E840,食材マスタ!$C$10:$C$309,0)),""))</f>
        <v/>
      </c>
      <c r="J840" s="15" t="str">
        <f t="shared" si="60"/>
        <v/>
      </c>
      <c r="K840" s="20"/>
      <c r="L840" s="8" t="str">
        <f t="shared" si="61"/>
        <v/>
      </c>
      <c r="M840" s="9"/>
      <c r="N840" s="13" t="str">
        <f t="shared" si="62"/>
        <v/>
      </c>
      <c r="O840" s="22" t="str">
        <f t="shared" ca="1" si="63"/>
        <v/>
      </c>
      <c r="P840" s="17" t="str">
        <f t="shared" si="64"/>
        <v/>
      </c>
      <c r="Q840" s="11"/>
      <c r="R840" s="19"/>
      <c r="S840" s="19"/>
      <c r="U840">
        <f ca="1">IF(AND(ISNUMBER(O840),O840&lt;=設定!$C$4),1,0)</f>
        <v>0</v>
      </c>
      <c r="V840" t="str">
        <f ca="1">IF(U840=1,SUM($U$10:U840),"")</f>
        <v/>
      </c>
    </row>
    <row r="841" spans="2:22">
      <c r="B841" s="8" t="str">
        <f>IF(C841="","",COUNT($C$10:C841))</f>
        <v/>
      </c>
      <c r="C841" s="20"/>
      <c r="D841" s="11"/>
      <c r="E841" s="9"/>
      <c r="F841" s="21" t="str">
        <f>IF(E841="","",IFERROR(INDEX(食材マスタ!$D$10:$D$309,MATCH(E841,食材マスタ!$C$10:$C$309,0)),"※コード未登録"))</f>
        <v/>
      </c>
      <c r="G841" s="16"/>
      <c r="H841" s="8" t="str">
        <f>IF(E841="","",IFERROR(INDEX(食材マスタ!$H$10:$H$309,MATCH(E841,食材マスタ!$C$10:$C$309,0)),""))</f>
        <v/>
      </c>
      <c r="I841" s="15" t="str">
        <f>IF(E841="","",IFERROR(INDEX(食材マスタ!$K$10:$K$309,MATCH(E841,食材マスタ!$C$10:$C$309,0)),""))</f>
        <v/>
      </c>
      <c r="J841" s="15" t="str">
        <f t="shared" si="60"/>
        <v/>
      </c>
      <c r="K841" s="20"/>
      <c r="L841" s="8" t="str">
        <f t="shared" si="61"/>
        <v/>
      </c>
      <c r="M841" s="9"/>
      <c r="N841" s="13" t="str">
        <f t="shared" si="62"/>
        <v/>
      </c>
      <c r="O841" s="22" t="str">
        <f t="shared" ca="1" si="63"/>
        <v/>
      </c>
      <c r="P841" s="17" t="str">
        <f t="shared" si="64"/>
        <v/>
      </c>
      <c r="Q841" s="11"/>
      <c r="R841" s="19"/>
      <c r="S841" s="19"/>
      <c r="U841">
        <f ca="1">IF(AND(ISNUMBER(O841),O841&lt;=設定!$C$4),1,0)</f>
        <v>0</v>
      </c>
      <c r="V841" t="str">
        <f ca="1">IF(U841=1,SUM($U$10:U841),"")</f>
        <v/>
      </c>
    </row>
    <row r="842" spans="2:22">
      <c r="B842" s="8" t="str">
        <f>IF(C842="","",COUNT($C$10:C842))</f>
        <v/>
      </c>
      <c r="C842" s="20"/>
      <c r="D842" s="11"/>
      <c r="E842" s="9"/>
      <c r="F842" s="21" t="str">
        <f>IF(E842="","",IFERROR(INDEX(食材マスタ!$D$10:$D$309,MATCH(E842,食材マスタ!$C$10:$C$309,0)),"※コード未登録"))</f>
        <v/>
      </c>
      <c r="G842" s="16"/>
      <c r="H842" s="8" t="str">
        <f>IF(E842="","",IFERROR(INDEX(食材マスタ!$H$10:$H$309,MATCH(E842,食材マスタ!$C$10:$C$309,0)),""))</f>
        <v/>
      </c>
      <c r="I842" s="15" t="str">
        <f>IF(E842="","",IFERROR(INDEX(食材マスタ!$K$10:$K$309,MATCH(E842,食材マスタ!$C$10:$C$309,0)),""))</f>
        <v/>
      </c>
      <c r="J842" s="15" t="str">
        <f t="shared" ref="J842:J905" si="65">IF(OR(G842="",I842=""),"",ROUND(ABS(G842)*I842,0))</f>
        <v/>
      </c>
      <c r="K842" s="20"/>
      <c r="L842" s="8" t="str">
        <f t="shared" ref="L842:L905" si="66">IF(AND(D842="入庫",E842&lt;&gt;""),E842&amp;"-"&amp;TEXT(ROW()-9,"0000"),"")</f>
        <v/>
      </c>
      <c r="M842" s="9"/>
      <c r="N842" s="13" t="str">
        <f t="shared" ref="N842:N905" si="67">IF(L842="","",G842-SUMIFS($G$10:$G$1009,$M$10:$M$1009,L842,$D$10:$D$1009,"出庫")-SUMIFS($G$10:$G$1009,$M$10:$M$1009,L842,$D$10:$D$1009,"廃棄")+SUMIFS($G$10:$G$1009,$M$10:$M$1009,L842,$D$10:$D$1009,"棚卸調整"))</f>
        <v/>
      </c>
      <c r="O842" s="22" t="str">
        <f t="shared" ref="O842:O905" ca="1" si="68">IF(OR(L842="",K842=""),"",IF(N842&lt;=0,"",K842-TODAY()))</f>
        <v/>
      </c>
      <c r="P842" s="17" t="str">
        <f t="shared" ref="P842:P905" si="69">IF(E842="","",IF(F842="※コード未登録","コード未登録",IF(AND(OR(D842="出庫",D842="廃棄"),M842=""),"ロット未指定",IF(AND(M842&lt;&gt;"",LEFT(M842,LEN(E842)+1)&lt;&gt;E842&amp;"-"),"ロット違い",IF(AND(L842&lt;&gt;"",N842&lt;0),"ロット残マイナス","")))))</f>
        <v/>
      </c>
      <c r="Q842" s="11"/>
      <c r="R842" s="19"/>
      <c r="S842" s="19"/>
      <c r="U842">
        <f ca="1">IF(AND(ISNUMBER(O842),O842&lt;=設定!$C$4),1,0)</f>
        <v>0</v>
      </c>
      <c r="V842" t="str">
        <f ca="1">IF(U842=1,SUM($U$10:U842),"")</f>
        <v/>
      </c>
    </row>
    <row r="843" spans="2:22">
      <c r="B843" s="8" t="str">
        <f>IF(C843="","",COUNT($C$10:C843))</f>
        <v/>
      </c>
      <c r="C843" s="20"/>
      <c r="D843" s="11"/>
      <c r="E843" s="9"/>
      <c r="F843" s="21" t="str">
        <f>IF(E843="","",IFERROR(INDEX(食材マスタ!$D$10:$D$309,MATCH(E843,食材マスタ!$C$10:$C$309,0)),"※コード未登録"))</f>
        <v/>
      </c>
      <c r="G843" s="16"/>
      <c r="H843" s="8" t="str">
        <f>IF(E843="","",IFERROR(INDEX(食材マスタ!$H$10:$H$309,MATCH(E843,食材マスタ!$C$10:$C$309,0)),""))</f>
        <v/>
      </c>
      <c r="I843" s="15" t="str">
        <f>IF(E843="","",IFERROR(INDEX(食材マスタ!$K$10:$K$309,MATCH(E843,食材マスタ!$C$10:$C$309,0)),""))</f>
        <v/>
      </c>
      <c r="J843" s="15" t="str">
        <f t="shared" si="65"/>
        <v/>
      </c>
      <c r="K843" s="20"/>
      <c r="L843" s="8" t="str">
        <f t="shared" si="66"/>
        <v/>
      </c>
      <c r="M843" s="9"/>
      <c r="N843" s="13" t="str">
        <f t="shared" si="67"/>
        <v/>
      </c>
      <c r="O843" s="22" t="str">
        <f t="shared" ca="1" si="68"/>
        <v/>
      </c>
      <c r="P843" s="17" t="str">
        <f t="shared" si="69"/>
        <v/>
      </c>
      <c r="Q843" s="11"/>
      <c r="R843" s="19"/>
      <c r="S843" s="19"/>
      <c r="U843">
        <f ca="1">IF(AND(ISNUMBER(O843),O843&lt;=設定!$C$4),1,0)</f>
        <v>0</v>
      </c>
      <c r="V843" t="str">
        <f ca="1">IF(U843=1,SUM($U$10:U843),"")</f>
        <v/>
      </c>
    </row>
    <row r="844" spans="2:22">
      <c r="B844" s="8" t="str">
        <f>IF(C844="","",COUNT($C$10:C844))</f>
        <v/>
      </c>
      <c r="C844" s="20"/>
      <c r="D844" s="11"/>
      <c r="E844" s="9"/>
      <c r="F844" s="21" t="str">
        <f>IF(E844="","",IFERROR(INDEX(食材マスタ!$D$10:$D$309,MATCH(E844,食材マスタ!$C$10:$C$309,0)),"※コード未登録"))</f>
        <v/>
      </c>
      <c r="G844" s="16"/>
      <c r="H844" s="8" t="str">
        <f>IF(E844="","",IFERROR(INDEX(食材マスタ!$H$10:$H$309,MATCH(E844,食材マスタ!$C$10:$C$309,0)),""))</f>
        <v/>
      </c>
      <c r="I844" s="15" t="str">
        <f>IF(E844="","",IFERROR(INDEX(食材マスタ!$K$10:$K$309,MATCH(E844,食材マスタ!$C$10:$C$309,0)),""))</f>
        <v/>
      </c>
      <c r="J844" s="15" t="str">
        <f t="shared" si="65"/>
        <v/>
      </c>
      <c r="K844" s="20"/>
      <c r="L844" s="8" t="str">
        <f t="shared" si="66"/>
        <v/>
      </c>
      <c r="M844" s="9"/>
      <c r="N844" s="13" t="str">
        <f t="shared" si="67"/>
        <v/>
      </c>
      <c r="O844" s="22" t="str">
        <f t="shared" ca="1" si="68"/>
        <v/>
      </c>
      <c r="P844" s="17" t="str">
        <f t="shared" si="69"/>
        <v/>
      </c>
      <c r="Q844" s="11"/>
      <c r="R844" s="19"/>
      <c r="S844" s="19"/>
      <c r="U844">
        <f ca="1">IF(AND(ISNUMBER(O844),O844&lt;=設定!$C$4),1,0)</f>
        <v>0</v>
      </c>
      <c r="V844" t="str">
        <f ca="1">IF(U844=1,SUM($U$10:U844),"")</f>
        <v/>
      </c>
    </row>
    <row r="845" spans="2:22">
      <c r="B845" s="8" t="str">
        <f>IF(C845="","",COUNT($C$10:C845))</f>
        <v/>
      </c>
      <c r="C845" s="20"/>
      <c r="D845" s="11"/>
      <c r="E845" s="9"/>
      <c r="F845" s="21" t="str">
        <f>IF(E845="","",IFERROR(INDEX(食材マスタ!$D$10:$D$309,MATCH(E845,食材マスタ!$C$10:$C$309,0)),"※コード未登録"))</f>
        <v/>
      </c>
      <c r="G845" s="16"/>
      <c r="H845" s="8" t="str">
        <f>IF(E845="","",IFERROR(INDEX(食材マスタ!$H$10:$H$309,MATCH(E845,食材マスタ!$C$10:$C$309,0)),""))</f>
        <v/>
      </c>
      <c r="I845" s="15" t="str">
        <f>IF(E845="","",IFERROR(INDEX(食材マスタ!$K$10:$K$309,MATCH(E845,食材マスタ!$C$10:$C$309,0)),""))</f>
        <v/>
      </c>
      <c r="J845" s="15" t="str">
        <f t="shared" si="65"/>
        <v/>
      </c>
      <c r="K845" s="20"/>
      <c r="L845" s="8" t="str">
        <f t="shared" si="66"/>
        <v/>
      </c>
      <c r="M845" s="9"/>
      <c r="N845" s="13" t="str">
        <f t="shared" si="67"/>
        <v/>
      </c>
      <c r="O845" s="22" t="str">
        <f t="shared" ca="1" si="68"/>
        <v/>
      </c>
      <c r="P845" s="17" t="str">
        <f t="shared" si="69"/>
        <v/>
      </c>
      <c r="Q845" s="11"/>
      <c r="R845" s="19"/>
      <c r="S845" s="19"/>
      <c r="U845">
        <f ca="1">IF(AND(ISNUMBER(O845),O845&lt;=設定!$C$4),1,0)</f>
        <v>0</v>
      </c>
      <c r="V845" t="str">
        <f ca="1">IF(U845=1,SUM($U$10:U845),"")</f>
        <v/>
      </c>
    </row>
    <row r="846" spans="2:22">
      <c r="B846" s="8" t="str">
        <f>IF(C846="","",COUNT($C$10:C846))</f>
        <v/>
      </c>
      <c r="C846" s="20"/>
      <c r="D846" s="11"/>
      <c r="E846" s="9"/>
      <c r="F846" s="21" t="str">
        <f>IF(E846="","",IFERROR(INDEX(食材マスタ!$D$10:$D$309,MATCH(E846,食材マスタ!$C$10:$C$309,0)),"※コード未登録"))</f>
        <v/>
      </c>
      <c r="G846" s="16"/>
      <c r="H846" s="8" t="str">
        <f>IF(E846="","",IFERROR(INDEX(食材マスタ!$H$10:$H$309,MATCH(E846,食材マスタ!$C$10:$C$309,0)),""))</f>
        <v/>
      </c>
      <c r="I846" s="15" t="str">
        <f>IF(E846="","",IFERROR(INDEX(食材マスタ!$K$10:$K$309,MATCH(E846,食材マスタ!$C$10:$C$309,0)),""))</f>
        <v/>
      </c>
      <c r="J846" s="15" t="str">
        <f t="shared" si="65"/>
        <v/>
      </c>
      <c r="K846" s="20"/>
      <c r="L846" s="8" t="str">
        <f t="shared" si="66"/>
        <v/>
      </c>
      <c r="M846" s="9"/>
      <c r="N846" s="13" t="str">
        <f t="shared" si="67"/>
        <v/>
      </c>
      <c r="O846" s="22" t="str">
        <f t="shared" ca="1" si="68"/>
        <v/>
      </c>
      <c r="P846" s="17" t="str">
        <f t="shared" si="69"/>
        <v/>
      </c>
      <c r="Q846" s="11"/>
      <c r="R846" s="19"/>
      <c r="S846" s="19"/>
      <c r="U846">
        <f ca="1">IF(AND(ISNUMBER(O846),O846&lt;=設定!$C$4),1,0)</f>
        <v>0</v>
      </c>
      <c r="V846" t="str">
        <f ca="1">IF(U846=1,SUM($U$10:U846),"")</f>
        <v/>
      </c>
    </row>
    <row r="847" spans="2:22">
      <c r="B847" s="8" t="str">
        <f>IF(C847="","",COUNT($C$10:C847))</f>
        <v/>
      </c>
      <c r="C847" s="20"/>
      <c r="D847" s="11"/>
      <c r="E847" s="9"/>
      <c r="F847" s="21" t="str">
        <f>IF(E847="","",IFERROR(INDEX(食材マスタ!$D$10:$D$309,MATCH(E847,食材マスタ!$C$10:$C$309,0)),"※コード未登録"))</f>
        <v/>
      </c>
      <c r="G847" s="16"/>
      <c r="H847" s="8" t="str">
        <f>IF(E847="","",IFERROR(INDEX(食材マスタ!$H$10:$H$309,MATCH(E847,食材マスタ!$C$10:$C$309,0)),""))</f>
        <v/>
      </c>
      <c r="I847" s="15" t="str">
        <f>IF(E847="","",IFERROR(INDEX(食材マスタ!$K$10:$K$309,MATCH(E847,食材マスタ!$C$10:$C$309,0)),""))</f>
        <v/>
      </c>
      <c r="J847" s="15" t="str">
        <f t="shared" si="65"/>
        <v/>
      </c>
      <c r="K847" s="20"/>
      <c r="L847" s="8" t="str">
        <f t="shared" si="66"/>
        <v/>
      </c>
      <c r="M847" s="9"/>
      <c r="N847" s="13" t="str">
        <f t="shared" si="67"/>
        <v/>
      </c>
      <c r="O847" s="22" t="str">
        <f t="shared" ca="1" si="68"/>
        <v/>
      </c>
      <c r="P847" s="17" t="str">
        <f t="shared" si="69"/>
        <v/>
      </c>
      <c r="Q847" s="11"/>
      <c r="R847" s="19"/>
      <c r="S847" s="19"/>
      <c r="U847">
        <f ca="1">IF(AND(ISNUMBER(O847),O847&lt;=設定!$C$4),1,0)</f>
        <v>0</v>
      </c>
      <c r="V847" t="str">
        <f ca="1">IF(U847=1,SUM($U$10:U847),"")</f>
        <v/>
      </c>
    </row>
    <row r="848" spans="2:22">
      <c r="B848" s="8" t="str">
        <f>IF(C848="","",COUNT($C$10:C848))</f>
        <v/>
      </c>
      <c r="C848" s="20"/>
      <c r="D848" s="11"/>
      <c r="E848" s="9"/>
      <c r="F848" s="21" t="str">
        <f>IF(E848="","",IFERROR(INDEX(食材マスタ!$D$10:$D$309,MATCH(E848,食材マスタ!$C$10:$C$309,0)),"※コード未登録"))</f>
        <v/>
      </c>
      <c r="G848" s="16"/>
      <c r="H848" s="8" t="str">
        <f>IF(E848="","",IFERROR(INDEX(食材マスタ!$H$10:$H$309,MATCH(E848,食材マスタ!$C$10:$C$309,0)),""))</f>
        <v/>
      </c>
      <c r="I848" s="15" t="str">
        <f>IF(E848="","",IFERROR(INDEX(食材マスタ!$K$10:$K$309,MATCH(E848,食材マスタ!$C$10:$C$309,0)),""))</f>
        <v/>
      </c>
      <c r="J848" s="15" t="str">
        <f t="shared" si="65"/>
        <v/>
      </c>
      <c r="K848" s="20"/>
      <c r="L848" s="8" t="str">
        <f t="shared" si="66"/>
        <v/>
      </c>
      <c r="M848" s="9"/>
      <c r="N848" s="13" t="str">
        <f t="shared" si="67"/>
        <v/>
      </c>
      <c r="O848" s="22" t="str">
        <f t="shared" ca="1" si="68"/>
        <v/>
      </c>
      <c r="P848" s="17" t="str">
        <f t="shared" si="69"/>
        <v/>
      </c>
      <c r="Q848" s="11"/>
      <c r="R848" s="19"/>
      <c r="S848" s="19"/>
      <c r="U848">
        <f ca="1">IF(AND(ISNUMBER(O848),O848&lt;=設定!$C$4),1,0)</f>
        <v>0</v>
      </c>
      <c r="V848" t="str">
        <f ca="1">IF(U848=1,SUM($U$10:U848),"")</f>
        <v/>
      </c>
    </row>
    <row r="849" spans="2:22">
      <c r="B849" s="8" t="str">
        <f>IF(C849="","",COUNT($C$10:C849))</f>
        <v/>
      </c>
      <c r="C849" s="20"/>
      <c r="D849" s="11"/>
      <c r="E849" s="9"/>
      <c r="F849" s="21" t="str">
        <f>IF(E849="","",IFERROR(INDEX(食材マスタ!$D$10:$D$309,MATCH(E849,食材マスタ!$C$10:$C$309,0)),"※コード未登録"))</f>
        <v/>
      </c>
      <c r="G849" s="16"/>
      <c r="H849" s="8" t="str">
        <f>IF(E849="","",IFERROR(INDEX(食材マスタ!$H$10:$H$309,MATCH(E849,食材マスタ!$C$10:$C$309,0)),""))</f>
        <v/>
      </c>
      <c r="I849" s="15" t="str">
        <f>IF(E849="","",IFERROR(INDEX(食材マスタ!$K$10:$K$309,MATCH(E849,食材マスタ!$C$10:$C$309,0)),""))</f>
        <v/>
      </c>
      <c r="J849" s="15" t="str">
        <f t="shared" si="65"/>
        <v/>
      </c>
      <c r="K849" s="20"/>
      <c r="L849" s="8" t="str">
        <f t="shared" si="66"/>
        <v/>
      </c>
      <c r="M849" s="9"/>
      <c r="N849" s="13" t="str">
        <f t="shared" si="67"/>
        <v/>
      </c>
      <c r="O849" s="22" t="str">
        <f t="shared" ca="1" si="68"/>
        <v/>
      </c>
      <c r="P849" s="17" t="str">
        <f t="shared" si="69"/>
        <v/>
      </c>
      <c r="Q849" s="11"/>
      <c r="R849" s="19"/>
      <c r="S849" s="19"/>
      <c r="U849">
        <f ca="1">IF(AND(ISNUMBER(O849),O849&lt;=設定!$C$4),1,0)</f>
        <v>0</v>
      </c>
      <c r="V849" t="str">
        <f ca="1">IF(U849=1,SUM($U$10:U849),"")</f>
        <v/>
      </c>
    </row>
    <row r="850" spans="2:22">
      <c r="B850" s="8" t="str">
        <f>IF(C850="","",COUNT($C$10:C850))</f>
        <v/>
      </c>
      <c r="C850" s="20"/>
      <c r="D850" s="11"/>
      <c r="E850" s="9"/>
      <c r="F850" s="21" t="str">
        <f>IF(E850="","",IFERROR(INDEX(食材マスタ!$D$10:$D$309,MATCH(E850,食材マスタ!$C$10:$C$309,0)),"※コード未登録"))</f>
        <v/>
      </c>
      <c r="G850" s="16"/>
      <c r="H850" s="8" t="str">
        <f>IF(E850="","",IFERROR(INDEX(食材マスタ!$H$10:$H$309,MATCH(E850,食材マスタ!$C$10:$C$309,0)),""))</f>
        <v/>
      </c>
      <c r="I850" s="15" t="str">
        <f>IF(E850="","",IFERROR(INDEX(食材マスタ!$K$10:$K$309,MATCH(E850,食材マスタ!$C$10:$C$309,0)),""))</f>
        <v/>
      </c>
      <c r="J850" s="15" t="str">
        <f t="shared" si="65"/>
        <v/>
      </c>
      <c r="K850" s="20"/>
      <c r="L850" s="8" t="str">
        <f t="shared" si="66"/>
        <v/>
      </c>
      <c r="M850" s="9"/>
      <c r="N850" s="13" t="str">
        <f t="shared" si="67"/>
        <v/>
      </c>
      <c r="O850" s="22" t="str">
        <f t="shared" ca="1" si="68"/>
        <v/>
      </c>
      <c r="P850" s="17" t="str">
        <f t="shared" si="69"/>
        <v/>
      </c>
      <c r="Q850" s="11"/>
      <c r="R850" s="19"/>
      <c r="S850" s="19"/>
      <c r="U850">
        <f ca="1">IF(AND(ISNUMBER(O850),O850&lt;=設定!$C$4),1,0)</f>
        <v>0</v>
      </c>
      <c r="V850" t="str">
        <f ca="1">IF(U850=1,SUM($U$10:U850),"")</f>
        <v/>
      </c>
    </row>
    <row r="851" spans="2:22">
      <c r="B851" s="8" t="str">
        <f>IF(C851="","",COUNT($C$10:C851))</f>
        <v/>
      </c>
      <c r="C851" s="20"/>
      <c r="D851" s="11"/>
      <c r="E851" s="9"/>
      <c r="F851" s="21" t="str">
        <f>IF(E851="","",IFERROR(INDEX(食材マスタ!$D$10:$D$309,MATCH(E851,食材マスタ!$C$10:$C$309,0)),"※コード未登録"))</f>
        <v/>
      </c>
      <c r="G851" s="16"/>
      <c r="H851" s="8" t="str">
        <f>IF(E851="","",IFERROR(INDEX(食材マスタ!$H$10:$H$309,MATCH(E851,食材マスタ!$C$10:$C$309,0)),""))</f>
        <v/>
      </c>
      <c r="I851" s="15" t="str">
        <f>IF(E851="","",IFERROR(INDEX(食材マスタ!$K$10:$K$309,MATCH(E851,食材マスタ!$C$10:$C$309,0)),""))</f>
        <v/>
      </c>
      <c r="J851" s="15" t="str">
        <f t="shared" si="65"/>
        <v/>
      </c>
      <c r="K851" s="20"/>
      <c r="L851" s="8" t="str">
        <f t="shared" si="66"/>
        <v/>
      </c>
      <c r="M851" s="9"/>
      <c r="N851" s="13" t="str">
        <f t="shared" si="67"/>
        <v/>
      </c>
      <c r="O851" s="22" t="str">
        <f t="shared" ca="1" si="68"/>
        <v/>
      </c>
      <c r="P851" s="17" t="str">
        <f t="shared" si="69"/>
        <v/>
      </c>
      <c r="Q851" s="11"/>
      <c r="R851" s="19"/>
      <c r="S851" s="19"/>
      <c r="U851">
        <f ca="1">IF(AND(ISNUMBER(O851),O851&lt;=設定!$C$4),1,0)</f>
        <v>0</v>
      </c>
      <c r="V851" t="str">
        <f ca="1">IF(U851=1,SUM($U$10:U851),"")</f>
        <v/>
      </c>
    </row>
    <row r="852" spans="2:22">
      <c r="B852" s="8" t="str">
        <f>IF(C852="","",COUNT($C$10:C852))</f>
        <v/>
      </c>
      <c r="C852" s="20"/>
      <c r="D852" s="11"/>
      <c r="E852" s="9"/>
      <c r="F852" s="21" t="str">
        <f>IF(E852="","",IFERROR(INDEX(食材マスタ!$D$10:$D$309,MATCH(E852,食材マスタ!$C$10:$C$309,0)),"※コード未登録"))</f>
        <v/>
      </c>
      <c r="G852" s="16"/>
      <c r="H852" s="8" t="str">
        <f>IF(E852="","",IFERROR(INDEX(食材マスタ!$H$10:$H$309,MATCH(E852,食材マスタ!$C$10:$C$309,0)),""))</f>
        <v/>
      </c>
      <c r="I852" s="15" t="str">
        <f>IF(E852="","",IFERROR(INDEX(食材マスタ!$K$10:$K$309,MATCH(E852,食材マスタ!$C$10:$C$309,0)),""))</f>
        <v/>
      </c>
      <c r="J852" s="15" t="str">
        <f t="shared" si="65"/>
        <v/>
      </c>
      <c r="K852" s="20"/>
      <c r="L852" s="8" t="str">
        <f t="shared" si="66"/>
        <v/>
      </c>
      <c r="M852" s="9"/>
      <c r="N852" s="13" t="str">
        <f t="shared" si="67"/>
        <v/>
      </c>
      <c r="O852" s="22" t="str">
        <f t="shared" ca="1" si="68"/>
        <v/>
      </c>
      <c r="P852" s="17" t="str">
        <f t="shared" si="69"/>
        <v/>
      </c>
      <c r="Q852" s="11"/>
      <c r="R852" s="19"/>
      <c r="S852" s="19"/>
      <c r="U852">
        <f ca="1">IF(AND(ISNUMBER(O852),O852&lt;=設定!$C$4),1,0)</f>
        <v>0</v>
      </c>
      <c r="V852" t="str">
        <f ca="1">IF(U852=1,SUM($U$10:U852),"")</f>
        <v/>
      </c>
    </row>
    <row r="853" spans="2:22">
      <c r="B853" s="8" t="str">
        <f>IF(C853="","",COUNT($C$10:C853))</f>
        <v/>
      </c>
      <c r="C853" s="20"/>
      <c r="D853" s="11"/>
      <c r="E853" s="9"/>
      <c r="F853" s="21" t="str">
        <f>IF(E853="","",IFERROR(INDEX(食材マスタ!$D$10:$D$309,MATCH(E853,食材マスタ!$C$10:$C$309,0)),"※コード未登録"))</f>
        <v/>
      </c>
      <c r="G853" s="16"/>
      <c r="H853" s="8" t="str">
        <f>IF(E853="","",IFERROR(INDEX(食材マスタ!$H$10:$H$309,MATCH(E853,食材マスタ!$C$10:$C$309,0)),""))</f>
        <v/>
      </c>
      <c r="I853" s="15" t="str">
        <f>IF(E853="","",IFERROR(INDEX(食材マスタ!$K$10:$K$309,MATCH(E853,食材マスタ!$C$10:$C$309,0)),""))</f>
        <v/>
      </c>
      <c r="J853" s="15" t="str">
        <f t="shared" si="65"/>
        <v/>
      </c>
      <c r="K853" s="20"/>
      <c r="L853" s="8" t="str">
        <f t="shared" si="66"/>
        <v/>
      </c>
      <c r="M853" s="9"/>
      <c r="N853" s="13" t="str">
        <f t="shared" si="67"/>
        <v/>
      </c>
      <c r="O853" s="22" t="str">
        <f t="shared" ca="1" si="68"/>
        <v/>
      </c>
      <c r="P853" s="17" t="str">
        <f t="shared" si="69"/>
        <v/>
      </c>
      <c r="Q853" s="11"/>
      <c r="R853" s="19"/>
      <c r="S853" s="19"/>
      <c r="U853">
        <f ca="1">IF(AND(ISNUMBER(O853),O853&lt;=設定!$C$4),1,0)</f>
        <v>0</v>
      </c>
      <c r="V853" t="str">
        <f ca="1">IF(U853=1,SUM($U$10:U853),"")</f>
        <v/>
      </c>
    </row>
    <row r="854" spans="2:22">
      <c r="B854" s="8" t="str">
        <f>IF(C854="","",COUNT($C$10:C854))</f>
        <v/>
      </c>
      <c r="C854" s="20"/>
      <c r="D854" s="11"/>
      <c r="E854" s="9"/>
      <c r="F854" s="21" t="str">
        <f>IF(E854="","",IFERROR(INDEX(食材マスタ!$D$10:$D$309,MATCH(E854,食材マスタ!$C$10:$C$309,0)),"※コード未登録"))</f>
        <v/>
      </c>
      <c r="G854" s="16"/>
      <c r="H854" s="8" t="str">
        <f>IF(E854="","",IFERROR(INDEX(食材マスタ!$H$10:$H$309,MATCH(E854,食材マスタ!$C$10:$C$309,0)),""))</f>
        <v/>
      </c>
      <c r="I854" s="15" t="str">
        <f>IF(E854="","",IFERROR(INDEX(食材マスタ!$K$10:$K$309,MATCH(E854,食材マスタ!$C$10:$C$309,0)),""))</f>
        <v/>
      </c>
      <c r="J854" s="15" t="str">
        <f t="shared" si="65"/>
        <v/>
      </c>
      <c r="K854" s="20"/>
      <c r="L854" s="8" t="str">
        <f t="shared" si="66"/>
        <v/>
      </c>
      <c r="M854" s="9"/>
      <c r="N854" s="13" t="str">
        <f t="shared" si="67"/>
        <v/>
      </c>
      <c r="O854" s="22" t="str">
        <f t="shared" ca="1" si="68"/>
        <v/>
      </c>
      <c r="P854" s="17" t="str">
        <f t="shared" si="69"/>
        <v/>
      </c>
      <c r="Q854" s="11"/>
      <c r="R854" s="19"/>
      <c r="S854" s="19"/>
      <c r="U854">
        <f ca="1">IF(AND(ISNUMBER(O854),O854&lt;=設定!$C$4),1,0)</f>
        <v>0</v>
      </c>
      <c r="V854" t="str">
        <f ca="1">IF(U854=1,SUM($U$10:U854),"")</f>
        <v/>
      </c>
    </row>
    <row r="855" spans="2:22">
      <c r="B855" s="8" t="str">
        <f>IF(C855="","",COUNT($C$10:C855))</f>
        <v/>
      </c>
      <c r="C855" s="20"/>
      <c r="D855" s="11"/>
      <c r="E855" s="9"/>
      <c r="F855" s="21" t="str">
        <f>IF(E855="","",IFERROR(INDEX(食材マスタ!$D$10:$D$309,MATCH(E855,食材マスタ!$C$10:$C$309,0)),"※コード未登録"))</f>
        <v/>
      </c>
      <c r="G855" s="16"/>
      <c r="H855" s="8" t="str">
        <f>IF(E855="","",IFERROR(INDEX(食材マスタ!$H$10:$H$309,MATCH(E855,食材マスタ!$C$10:$C$309,0)),""))</f>
        <v/>
      </c>
      <c r="I855" s="15" t="str">
        <f>IF(E855="","",IFERROR(INDEX(食材マスタ!$K$10:$K$309,MATCH(E855,食材マスタ!$C$10:$C$309,0)),""))</f>
        <v/>
      </c>
      <c r="J855" s="15" t="str">
        <f t="shared" si="65"/>
        <v/>
      </c>
      <c r="K855" s="20"/>
      <c r="L855" s="8" t="str">
        <f t="shared" si="66"/>
        <v/>
      </c>
      <c r="M855" s="9"/>
      <c r="N855" s="13" t="str">
        <f t="shared" si="67"/>
        <v/>
      </c>
      <c r="O855" s="22" t="str">
        <f t="shared" ca="1" si="68"/>
        <v/>
      </c>
      <c r="P855" s="17" t="str">
        <f t="shared" si="69"/>
        <v/>
      </c>
      <c r="Q855" s="11"/>
      <c r="R855" s="19"/>
      <c r="S855" s="19"/>
      <c r="U855">
        <f ca="1">IF(AND(ISNUMBER(O855),O855&lt;=設定!$C$4),1,0)</f>
        <v>0</v>
      </c>
      <c r="V855" t="str">
        <f ca="1">IF(U855=1,SUM($U$10:U855),"")</f>
        <v/>
      </c>
    </row>
    <row r="856" spans="2:22">
      <c r="B856" s="8" t="str">
        <f>IF(C856="","",COUNT($C$10:C856))</f>
        <v/>
      </c>
      <c r="C856" s="20"/>
      <c r="D856" s="11"/>
      <c r="E856" s="9"/>
      <c r="F856" s="21" t="str">
        <f>IF(E856="","",IFERROR(INDEX(食材マスタ!$D$10:$D$309,MATCH(E856,食材マスタ!$C$10:$C$309,0)),"※コード未登録"))</f>
        <v/>
      </c>
      <c r="G856" s="16"/>
      <c r="H856" s="8" t="str">
        <f>IF(E856="","",IFERROR(INDEX(食材マスタ!$H$10:$H$309,MATCH(E856,食材マスタ!$C$10:$C$309,0)),""))</f>
        <v/>
      </c>
      <c r="I856" s="15" t="str">
        <f>IF(E856="","",IFERROR(INDEX(食材マスタ!$K$10:$K$309,MATCH(E856,食材マスタ!$C$10:$C$309,0)),""))</f>
        <v/>
      </c>
      <c r="J856" s="15" t="str">
        <f t="shared" si="65"/>
        <v/>
      </c>
      <c r="K856" s="20"/>
      <c r="L856" s="8" t="str">
        <f t="shared" si="66"/>
        <v/>
      </c>
      <c r="M856" s="9"/>
      <c r="N856" s="13" t="str">
        <f t="shared" si="67"/>
        <v/>
      </c>
      <c r="O856" s="22" t="str">
        <f t="shared" ca="1" si="68"/>
        <v/>
      </c>
      <c r="P856" s="17" t="str">
        <f t="shared" si="69"/>
        <v/>
      </c>
      <c r="Q856" s="11"/>
      <c r="R856" s="19"/>
      <c r="S856" s="19"/>
      <c r="U856">
        <f ca="1">IF(AND(ISNUMBER(O856),O856&lt;=設定!$C$4),1,0)</f>
        <v>0</v>
      </c>
      <c r="V856" t="str">
        <f ca="1">IF(U856=1,SUM($U$10:U856),"")</f>
        <v/>
      </c>
    </row>
    <row r="857" spans="2:22">
      <c r="B857" s="8" t="str">
        <f>IF(C857="","",COUNT($C$10:C857))</f>
        <v/>
      </c>
      <c r="C857" s="20"/>
      <c r="D857" s="11"/>
      <c r="E857" s="9"/>
      <c r="F857" s="21" t="str">
        <f>IF(E857="","",IFERROR(INDEX(食材マスタ!$D$10:$D$309,MATCH(E857,食材マスタ!$C$10:$C$309,0)),"※コード未登録"))</f>
        <v/>
      </c>
      <c r="G857" s="16"/>
      <c r="H857" s="8" t="str">
        <f>IF(E857="","",IFERROR(INDEX(食材マスタ!$H$10:$H$309,MATCH(E857,食材マスタ!$C$10:$C$309,0)),""))</f>
        <v/>
      </c>
      <c r="I857" s="15" t="str">
        <f>IF(E857="","",IFERROR(INDEX(食材マスタ!$K$10:$K$309,MATCH(E857,食材マスタ!$C$10:$C$309,0)),""))</f>
        <v/>
      </c>
      <c r="J857" s="15" t="str">
        <f t="shared" si="65"/>
        <v/>
      </c>
      <c r="K857" s="20"/>
      <c r="L857" s="8" t="str">
        <f t="shared" si="66"/>
        <v/>
      </c>
      <c r="M857" s="9"/>
      <c r="N857" s="13" t="str">
        <f t="shared" si="67"/>
        <v/>
      </c>
      <c r="O857" s="22" t="str">
        <f t="shared" ca="1" si="68"/>
        <v/>
      </c>
      <c r="P857" s="17" t="str">
        <f t="shared" si="69"/>
        <v/>
      </c>
      <c r="Q857" s="11"/>
      <c r="R857" s="19"/>
      <c r="S857" s="19"/>
      <c r="U857">
        <f ca="1">IF(AND(ISNUMBER(O857),O857&lt;=設定!$C$4),1,0)</f>
        <v>0</v>
      </c>
      <c r="V857" t="str">
        <f ca="1">IF(U857=1,SUM($U$10:U857),"")</f>
        <v/>
      </c>
    </row>
    <row r="858" spans="2:22">
      <c r="B858" s="8" t="str">
        <f>IF(C858="","",COUNT($C$10:C858))</f>
        <v/>
      </c>
      <c r="C858" s="20"/>
      <c r="D858" s="11"/>
      <c r="E858" s="9"/>
      <c r="F858" s="21" t="str">
        <f>IF(E858="","",IFERROR(INDEX(食材マスタ!$D$10:$D$309,MATCH(E858,食材マスタ!$C$10:$C$309,0)),"※コード未登録"))</f>
        <v/>
      </c>
      <c r="G858" s="16"/>
      <c r="H858" s="8" t="str">
        <f>IF(E858="","",IFERROR(INDEX(食材マスタ!$H$10:$H$309,MATCH(E858,食材マスタ!$C$10:$C$309,0)),""))</f>
        <v/>
      </c>
      <c r="I858" s="15" t="str">
        <f>IF(E858="","",IFERROR(INDEX(食材マスタ!$K$10:$K$309,MATCH(E858,食材マスタ!$C$10:$C$309,0)),""))</f>
        <v/>
      </c>
      <c r="J858" s="15" t="str">
        <f t="shared" si="65"/>
        <v/>
      </c>
      <c r="K858" s="20"/>
      <c r="L858" s="8" t="str">
        <f t="shared" si="66"/>
        <v/>
      </c>
      <c r="M858" s="9"/>
      <c r="N858" s="13" t="str">
        <f t="shared" si="67"/>
        <v/>
      </c>
      <c r="O858" s="22" t="str">
        <f t="shared" ca="1" si="68"/>
        <v/>
      </c>
      <c r="P858" s="17" t="str">
        <f t="shared" si="69"/>
        <v/>
      </c>
      <c r="Q858" s="11"/>
      <c r="R858" s="19"/>
      <c r="S858" s="19"/>
      <c r="U858">
        <f ca="1">IF(AND(ISNUMBER(O858),O858&lt;=設定!$C$4),1,0)</f>
        <v>0</v>
      </c>
      <c r="V858" t="str">
        <f ca="1">IF(U858=1,SUM($U$10:U858),"")</f>
        <v/>
      </c>
    </row>
    <row r="859" spans="2:22">
      <c r="B859" s="8" t="str">
        <f>IF(C859="","",COUNT($C$10:C859))</f>
        <v/>
      </c>
      <c r="C859" s="20"/>
      <c r="D859" s="11"/>
      <c r="E859" s="9"/>
      <c r="F859" s="21" t="str">
        <f>IF(E859="","",IFERROR(INDEX(食材マスタ!$D$10:$D$309,MATCH(E859,食材マスタ!$C$10:$C$309,0)),"※コード未登録"))</f>
        <v/>
      </c>
      <c r="G859" s="16"/>
      <c r="H859" s="8" t="str">
        <f>IF(E859="","",IFERROR(INDEX(食材マスタ!$H$10:$H$309,MATCH(E859,食材マスタ!$C$10:$C$309,0)),""))</f>
        <v/>
      </c>
      <c r="I859" s="15" t="str">
        <f>IF(E859="","",IFERROR(INDEX(食材マスタ!$K$10:$K$309,MATCH(E859,食材マスタ!$C$10:$C$309,0)),""))</f>
        <v/>
      </c>
      <c r="J859" s="15" t="str">
        <f t="shared" si="65"/>
        <v/>
      </c>
      <c r="K859" s="20"/>
      <c r="L859" s="8" t="str">
        <f t="shared" si="66"/>
        <v/>
      </c>
      <c r="M859" s="9"/>
      <c r="N859" s="13" t="str">
        <f t="shared" si="67"/>
        <v/>
      </c>
      <c r="O859" s="22" t="str">
        <f t="shared" ca="1" si="68"/>
        <v/>
      </c>
      <c r="P859" s="17" t="str">
        <f t="shared" si="69"/>
        <v/>
      </c>
      <c r="Q859" s="11"/>
      <c r="R859" s="19"/>
      <c r="S859" s="19"/>
      <c r="U859">
        <f ca="1">IF(AND(ISNUMBER(O859),O859&lt;=設定!$C$4),1,0)</f>
        <v>0</v>
      </c>
      <c r="V859" t="str">
        <f ca="1">IF(U859=1,SUM($U$10:U859),"")</f>
        <v/>
      </c>
    </row>
    <row r="860" spans="2:22">
      <c r="B860" s="8" t="str">
        <f>IF(C860="","",COUNT($C$10:C860))</f>
        <v/>
      </c>
      <c r="C860" s="20"/>
      <c r="D860" s="11"/>
      <c r="E860" s="9"/>
      <c r="F860" s="21" t="str">
        <f>IF(E860="","",IFERROR(INDEX(食材マスタ!$D$10:$D$309,MATCH(E860,食材マスタ!$C$10:$C$309,0)),"※コード未登録"))</f>
        <v/>
      </c>
      <c r="G860" s="16"/>
      <c r="H860" s="8" t="str">
        <f>IF(E860="","",IFERROR(INDEX(食材マスタ!$H$10:$H$309,MATCH(E860,食材マスタ!$C$10:$C$309,0)),""))</f>
        <v/>
      </c>
      <c r="I860" s="15" t="str">
        <f>IF(E860="","",IFERROR(INDEX(食材マスタ!$K$10:$K$309,MATCH(E860,食材マスタ!$C$10:$C$309,0)),""))</f>
        <v/>
      </c>
      <c r="J860" s="15" t="str">
        <f t="shared" si="65"/>
        <v/>
      </c>
      <c r="K860" s="20"/>
      <c r="L860" s="8" t="str">
        <f t="shared" si="66"/>
        <v/>
      </c>
      <c r="M860" s="9"/>
      <c r="N860" s="13" t="str">
        <f t="shared" si="67"/>
        <v/>
      </c>
      <c r="O860" s="22" t="str">
        <f t="shared" ca="1" si="68"/>
        <v/>
      </c>
      <c r="P860" s="17" t="str">
        <f t="shared" si="69"/>
        <v/>
      </c>
      <c r="Q860" s="11"/>
      <c r="R860" s="19"/>
      <c r="S860" s="19"/>
      <c r="U860">
        <f ca="1">IF(AND(ISNUMBER(O860),O860&lt;=設定!$C$4),1,0)</f>
        <v>0</v>
      </c>
      <c r="V860" t="str">
        <f ca="1">IF(U860=1,SUM($U$10:U860),"")</f>
        <v/>
      </c>
    </row>
    <row r="861" spans="2:22">
      <c r="B861" s="8" t="str">
        <f>IF(C861="","",COUNT($C$10:C861))</f>
        <v/>
      </c>
      <c r="C861" s="20"/>
      <c r="D861" s="11"/>
      <c r="E861" s="9"/>
      <c r="F861" s="21" t="str">
        <f>IF(E861="","",IFERROR(INDEX(食材マスタ!$D$10:$D$309,MATCH(E861,食材マスタ!$C$10:$C$309,0)),"※コード未登録"))</f>
        <v/>
      </c>
      <c r="G861" s="16"/>
      <c r="H861" s="8" t="str">
        <f>IF(E861="","",IFERROR(INDEX(食材マスタ!$H$10:$H$309,MATCH(E861,食材マスタ!$C$10:$C$309,0)),""))</f>
        <v/>
      </c>
      <c r="I861" s="15" t="str">
        <f>IF(E861="","",IFERROR(INDEX(食材マスタ!$K$10:$K$309,MATCH(E861,食材マスタ!$C$10:$C$309,0)),""))</f>
        <v/>
      </c>
      <c r="J861" s="15" t="str">
        <f t="shared" si="65"/>
        <v/>
      </c>
      <c r="K861" s="20"/>
      <c r="L861" s="8" t="str">
        <f t="shared" si="66"/>
        <v/>
      </c>
      <c r="M861" s="9"/>
      <c r="N861" s="13" t="str">
        <f t="shared" si="67"/>
        <v/>
      </c>
      <c r="O861" s="22" t="str">
        <f t="shared" ca="1" si="68"/>
        <v/>
      </c>
      <c r="P861" s="17" t="str">
        <f t="shared" si="69"/>
        <v/>
      </c>
      <c r="Q861" s="11"/>
      <c r="R861" s="19"/>
      <c r="S861" s="19"/>
      <c r="U861">
        <f ca="1">IF(AND(ISNUMBER(O861),O861&lt;=設定!$C$4),1,0)</f>
        <v>0</v>
      </c>
      <c r="V861" t="str">
        <f ca="1">IF(U861=1,SUM($U$10:U861),"")</f>
        <v/>
      </c>
    </row>
    <row r="862" spans="2:22">
      <c r="B862" s="8" t="str">
        <f>IF(C862="","",COUNT($C$10:C862))</f>
        <v/>
      </c>
      <c r="C862" s="20"/>
      <c r="D862" s="11"/>
      <c r="E862" s="9"/>
      <c r="F862" s="21" t="str">
        <f>IF(E862="","",IFERROR(INDEX(食材マスタ!$D$10:$D$309,MATCH(E862,食材マスタ!$C$10:$C$309,0)),"※コード未登録"))</f>
        <v/>
      </c>
      <c r="G862" s="16"/>
      <c r="H862" s="8" t="str">
        <f>IF(E862="","",IFERROR(INDEX(食材マスタ!$H$10:$H$309,MATCH(E862,食材マスタ!$C$10:$C$309,0)),""))</f>
        <v/>
      </c>
      <c r="I862" s="15" t="str">
        <f>IF(E862="","",IFERROR(INDEX(食材マスタ!$K$10:$K$309,MATCH(E862,食材マスタ!$C$10:$C$309,0)),""))</f>
        <v/>
      </c>
      <c r="J862" s="15" t="str">
        <f t="shared" si="65"/>
        <v/>
      </c>
      <c r="K862" s="20"/>
      <c r="L862" s="8" t="str">
        <f t="shared" si="66"/>
        <v/>
      </c>
      <c r="M862" s="9"/>
      <c r="N862" s="13" t="str">
        <f t="shared" si="67"/>
        <v/>
      </c>
      <c r="O862" s="22" t="str">
        <f t="shared" ca="1" si="68"/>
        <v/>
      </c>
      <c r="P862" s="17" t="str">
        <f t="shared" si="69"/>
        <v/>
      </c>
      <c r="Q862" s="11"/>
      <c r="R862" s="19"/>
      <c r="S862" s="19"/>
      <c r="U862">
        <f ca="1">IF(AND(ISNUMBER(O862),O862&lt;=設定!$C$4),1,0)</f>
        <v>0</v>
      </c>
      <c r="V862" t="str">
        <f ca="1">IF(U862=1,SUM($U$10:U862),"")</f>
        <v/>
      </c>
    </row>
    <row r="863" spans="2:22">
      <c r="B863" s="8" t="str">
        <f>IF(C863="","",COUNT($C$10:C863))</f>
        <v/>
      </c>
      <c r="C863" s="20"/>
      <c r="D863" s="11"/>
      <c r="E863" s="9"/>
      <c r="F863" s="21" t="str">
        <f>IF(E863="","",IFERROR(INDEX(食材マスタ!$D$10:$D$309,MATCH(E863,食材マスタ!$C$10:$C$309,0)),"※コード未登録"))</f>
        <v/>
      </c>
      <c r="G863" s="16"/>
      <c r="H863" s="8" t="str">
        <f>IF(E863="","",IFERROR(INDEX(食材マスタ!$H$10:$H$309,MATCH(E863,食材マスタ!$C$10:$C$309,0)),""))</f>
        <v/>
      </c>
      <c r="I863" s="15" t="str">
        <f>IF(E863="","",IFERROR(INDEX(食材マスタ!$K$10:$K$309,MATCH(E863,食材マスタ!$C$10:$C$309,0)),""))</f>
        <v/>
      </c>
      <c r="J863" s="15" t="str">
        <f t="shared" si="65"/>
        <v/>
      </c>
      <c r="K863" s="20"/>
      <c r="L863" s="8" t="str">
        <f t="shared" si="66"/>
        <v/>
      </c>
      <c r="M863" s="9"/>
      <c r="N863" s="13" t="str">
        <f t="shared" si="67"/>
        <v/>
      </c>
      <c r="O863" s="22" t="str">
        <f t="shared" ca="1" si="68"/>
        <v/>
      </c>
      <c r="P863" s="17" t="str">
        <f t="shared" si="69"/>
        <v/>
      </c>
      <c r="Q863" s="11"/>
      <c r="R863" s="19"/>
      <c r="S863" s="19"/>
      <c r="U863">
        <f ca="1">IF(AND(ISNUMBER(O863),O863&lt;=設定!$C$4),1,0)</f>
        <v>0</v>
      </c>
      <c r="V863" t="str">
        <f ca="1">IF(U863=1,SUM($U$10:U863),"")</f>
        <v/>
      </c>
    </row>
    <row r="864" spans="2:22">
      <c r="B864" s="8" t="str">
        <f>IF(C864="","",COUNT($C$10:C864))</f>
        <v/>
      </c>
      <c r="C864" s="20"/>
      <c r="D864" s="11"/>
      <c r="E864" s="9"/>
      <c r="F864" s="21" t="str">
        <f>IF(E864="","",IFERROR(INDEX(食材マスタ!$D$10:$D$309,MATCH(E864,食材マスタ!$C$10:$C$309,0)),"※コード未登録"))</f>
        <v/>
      </c>
      <c r="G864" s="16"/>
      <c r="H864" s="8" t="str">
        <f>IF(E864="","",IFERROR(INDEX(食材マスタ!$H$10:$H$309,MATCH(E864,食材マスタ!$C$10:$C$309,0)),""))</f>
        <v/>
      </c>
      <c r="I864" s="15" t="str">
        <f>IF(E864="","",IFERROR(INDEX(食材マスタ!$K$10:$K$309,MATCH(E864,食材マスタ!$C$10:$C$309,0)),""))</f>
        <v/>
      </c>
      <c r="J864" s="15" t="str">
        <f t="shared" si="65"/>
        <v/>
      </c>
      <c r="K864" s="20"/>
      <c r="L864" s="8" t="str">
        <f t="shared" si="66"/>
        <v/>
      </c>
      <c r="M864" s="9"/>
      <c r="N864" s="13" t="str">
        <f t="shared" si="67"/>
        <v/>
      </c>
      <c r="O864" s="22" t="str">
        <f t="shared" ca="1" si="68"/>
        <v/>
      </c>
      <c r="P864" s="17" t="str">
        <f t="shared" si="69"/>
        <v/>
      </c>
      <c r="Q864" s="11"/>
      <c r="R864" s="19"/>
      <c r="S864" s="19"/>
      <c r="U864">
        <f ca="1">IF(AND(ISNUMBER(O864),O864&lt;=設定!$C$4),1,0)</f>
        <v>0</v>
      </c>
      <c r="V864" t="str">
        <f ca="1">IF(U864=1,SUM($U$10:U864),"")</f>
        <v/>
      </c>
    </row>
    <row r="865" spans="2:22">
      <c r="B865" s="8" t="str">
        <f>IF(C865="","",COUNT($C$10:C865))</f>
        <v/>
      </c>
      <c r="C865" s="20"/>
      <c r="D865" s="11"/>
      <c r="E865" s="9"/>
      <c r="F865" s="21" t="str">
        <f>IF(E865="","",IFERROR(INDEX(食材マスタ!$D$10:$D$309,MATCH(E865,食材マスタ!$C$10:$C$309,0)),"※コード未登録"))</f>
        <v/>
      </c>
      <c r="G865" s="16"/>
      <c r="H865" s="8" t="str">
        <f>IF(E865="","",IFERROR(INDEX(食材マスタ!$H$10:$H$309,MATCH(E865,食材マスタ!$C$10:$C$309,0)),""))</f>
        <v/>
      </c>
      <c r="I865" s="15" t="str">
        <f>IF(E865="","",IFERROR(INDEX(食材マスタ!$K$10:$K$309,MATCH(E865,食材マスタ!$C$10:$C$309,0)),""))</f>
        <v/>
      </c>
      <c r="J865" s="15" t="str">
        <f t="shared" si="65"/>
        <v/>
      </c>
      <c r="K865" s="20"/>
      <c r="L865" s="8" t="str">
        <f t="shared" si="66"/>
        <v/>
      </c>
      <c r="M865" s="9"/>
      <c r="N865" s="13" t="str">
        <f t="shared" si="67"/>
        <v/>
      </c>
      <c r="O865" s="22" t="str">
        <f t="shared" ca="1" si="68"/>
        <v/>
      </c>
      <c r="P865" s="17" t="str">
        <f t="shared" si="69"/>
        <v/>
      </c>
      <c r="Q865" s="11"/>
      <c r="R865" s="19"/>
      <c r="S865" s="19"/>
      <c r="U865">
        <f ca="1">IF(AND(ISNUMBER(O865),O865&lt;=設定!$C$4),1,0)</f>
        <v>0</v>
      </c>
      <c r="V865" t="str">
        <f ca="1">IF(U865=1,SUM($U$10:U865),"")</f>
        <v/>
      </c>
    </row>
    <row r="866" spans="2:22">
      <c r="B866" s="8" t="str">
        <f>IF(C866="","",COUNT($C$10:C866))</f>
        <v/>
      </c>
      <c r="C866" s="20"/>
      <c r="D866" s="11"/>
      <c r="E866" s="9"/>
      <c r="F866" s="21" t="str">
        <f>IF(E866="","",IFERROR(INDEX(食材マスタ!$D$10:$D$309,MATCH(E866,食材マスタ!$C$10:$C$309,0)),"※コード未登録"))</f>
        <v/>
      </c>
      <c r="G866" s="16"/>
      <c r="H866" s="8" t="str">
        <f>IF(E866="","",IFERROR(INDEX(食材マスタ!$H$10:$H$309,MATCH(E866,食材マスタ!$C$10:$C$309,0)),""))</f>
        <v/>
      </c>
      <c r="I866" s="15" t="str">
        <f>IF(E866="","",IFERROR(INDEX(食材マスタ!$K$10:$K$309,MATCH(E866,食材マスタ!$C$10:$C$309,0)),""))</f>
        <v/>
      </c>
      <c r="J866" s="15" t="str">
        <f t="shared" si="65"/>
        <v/>
      </c>
      <c r="K866" s="20"/>
      <c r="L866" s="8" t="str">
        <f t="shared" si="66"/>
        <v/>
      </c>
      <c r="M866" s="9"/>
      <c r="N866" s="13" t="str">
        <f t="shared" si="67"/>
        <v/>
      </c>
      <c r="O866" s="22" t="str">
        <f t="shared" ca="1" si="68"/>
        <v/>
      </c>
      <c r="P866" s="17" t="str">
        <f t="shared" si="69"/>
        <v/>
      </c>
      <c r="Q866" s="11"/>
      <c r="R866" s="19"/>
      <c r="S866" s="19"/>
      <c r="U866">
        <f ca="1">IF(AND(ISNUMBER(O866),O866&lt;=設定!$C$4),1,0)</f>
        <v>0</v>
      </c>
      <c r="V866" t="str">
        <f ca="1">IF(U866=1,SUM($U$10:U866),"")</f>
        <v/>
      </c>
    </row>
    <row r="867" spans="2:22">
      <c r="B867" s="8" t="str">
        <f>IF(C867="","",COUNT($C$10:C867))</f>
        <v/>
      </c>
      <c r="C867" s="20"/>
      <c r="D867" s="11"/>
      <c r="E867" s="9"/>
      <c r="F867" s="21" t="str">
        <f>IF(E867="","",IFERROR(INDEX(食材マスタ!$D$10:$D$309,MATCH(E867,食材マスタ!$C$10:$C$309,0)),"※コード未登録"))</f>
        <v/>
      </c>
      <c r="G867" s="16"/>
      <c r="H867" s="8" t="str">
        <f>IF(E867="","",IFERROR(INDEX(食材マスタ!$H$10:$H$309,MATCH(E867,食材マスタ!$C$10:$C$309,0)),""))</f>
        <v/>
      </c>
      <c r="I867" s="15" t="str">
        <f>IF(E867="","",IFERROR(INDEX(食材マスタ!$K$10:$K$309,MATCH(E867,食材マスタ!$C$10:$C$309,0)),""))</f>
        <v/>
      </c>
      <c r="J867" s="15" t="str">
        <f t="shared" si="65"/>
        <v/>
      </c>
      <c r="K867" s="20"/>
      <c r="L867" s="8" t="str">
        <f t="shared" si="66"/>
        <v/>
      </c>
      <c r="M867" s="9"/>
      <c r="N867" s="13" t="str">
        <f t="shared" si="67"/>
        <v/>
      </c>
      <c r="O867" s="22" t="str">
        <f t="shared" ca="1" si="68"/>
        <v/>
      </c>
      <c r="P867" s="17" t="str">
        <f t="shared" si="69"/>
        <v/>
      </c>
      <c r="Q867" s="11"/>
      <c r="R867" s="19"/>
      <c r="S867" s="19"/>
      <c r="U867">
        <f ca="1">IF(AND(ISNUMBER(O867),O867&lt;=設定!$C$4),1,0)</f>
        <v>0</v>
      </c>
      <c r="V867" t="str">
        <f ca="1">IF(U867=1,SUM($U$10:U867),"")</f>
        <v/>
      </c>
    </row>
    <row r="868" spans="2:22">
      <c r="B868" s="8" t="str">
        <f>IF(C868="","",COUNT($C$10:C868))</f>
        <v/>
      </c>
      <c r="C868" s="20"/>
      <c r="D868" s="11"/>
      <c r="E868" s="9"/>
      <c r="F868" s="21" t="str">
        <f>IF(E868="","",IFERROR(INDEX(食材マスタ!$D$10:$D$309,MATCH(E868,食材マスタ!$C$10:$C$309,0)),"※コード未登録"))</f>
        <v/>
      </c>
      <c r="G868" s="16"/>
      <c r="H868" s="8" t="str">
        <f>IF(E868="","",IFERROR(INDEX(食材マスタ!$H$10:$H$309,MATCH(E868,食材マスタ!$C$10:$C$309,0)),""))</f>
        <v/>
      </c>
      <c r="I868" s="15" t="str">
        <f>IF(E868="","",IFERROR(INDEX(食材マスタ!$K$10:$K$309,MATCH(E868,食材マスタ!$C$10:$C$309,0)),""))</f>
        <v/>
      </c>
      <c r="J868" s="15" t="str">
        <f t="shared" si="65"/>
        <v/>
      </c>
      <c r="K868" s="20"/>
      <c r="L868" s="8" t="str">
        <f t="shared" si="66"/>
        <v/>
      </c>
      <c r="M868" s="9"/>
      <c r="N868" s="13" t="str">
        <f t="shared" si="67"/>
        <v/>
      </c>
      <c r="O868" s="22" t="str">
        <f t="shared" ca="1" si="68"/>
        <v/>
      </c>
      <c r="P868" s="17" t="str">
        <f t="shared" si="69"/>
        <v/>
      </c>
      <c r="Q868" s="11"/>
      <c r="R868" s="19"/>
      <c r="S868" s="19"/>
      <c r="U868">
        <f ca="1">IF(AND(ISNUMBER(O868),O868&lt;=設定!$C$4),1,0)</f>
        <v>0</v>
      </c>
      <c r="V868" t="str">
        <f ca="1">IF(U868=1,SUM($U$10:U868),"")</f>
        <v/>
      </c>
    </row>
    <row r="869" spans="2:22">
      <c r="B869" s="8" t="str">
        <f>IF(C869="","",COUNT($C$10:C869))</f>
        <v/>
      </c>
      <c r="C869" s="20"/>
      <c r="D869" s="11"/>
      <c r="E869" s="9"/>
      <c r="F869" s="21" t="str">
        <f>IF(E869="","",IFERROR(INDEX(食材マスタ!$D$10:$D$309,MATCH(E869,食材マスタ!$C$10:$C$309,0)),"※コード未登録"))</f>
        <v/>
      </c>
      <c r="G869" s="16"/>
      <c r="H869" s="8" t="str">
        <f>IF(E869="","",IFERROR(INDEX(食材マスタ!$H$10:$H$309,MATCH(E869,食材マスタ!$C$10:$C$309,0)),""))</f>
        <v/>
      </c>
      <c r="I869" s="15" t="str">
        <f>IF(E869="","",IFERROR(INDEX(食材マスタ!$K$10:$K$309,MATCH(E869,食材マスタ!$C$10:$C$309,0)),""))</f>
        <v/>
      </c>
      <c r="J869" s="15" t="str">
        <f t="shared" si="65"/>
        <v/>
      </c>
      <c r="K869" s="20"/>
      <c r="L869" s="8" t="str">
        <f t="shared" si="66"/>
        <v/>
      </c>
      <c r="M869" s="9"/>
      <c r="N869" s="13" t="str">
        <f t="shared" si="67"/>
        <v/>
      </c>
      <c r="O869" s="22" t="str">
        <f t="shared" ca="1" si="68"/>
        <v/>
      </c>
      <c r="P869" s="17" t="str">
        <f t="shared" si="69"/>
        <v/>
      </c>
      <c r="Q869" s="11"/>
      <c r="R869" s="19"/>
      <c r="S869" s="19"/>
      <c r="U869">
        <f ca="1">IF(AND(ISNUMBER(O869),O869&lt;=設定!$C$4),1,0)</f>
        <v>0</v>
      </c>
      <c r="V869" t="str">
        <f ca="1">IF(U869=1,SUM($U$10:U869),"")</f>
        <v/>
      </c>
    </row>
    <row r="870" spans="2:22">
      <c r="B870" s="8" t="str">
        <f>IF(C870="","",COUNT($C$10:C870))</f>
        <v/>
      </c>
      <c r="C870" s="20"/>
      <c r="D870" s="11"/>
      <c r="E870" s="9"/>
      <c r="F870" s="21" t="str">
        <f>IF(E870="","",IFERROR(INDEX(食材マスタ!$D$10:$D$309,MATCH(E870,食材マスタ!$C$10:$C$309,0)),"※コード未登録"))</f>
        <v/>
      </c>
      <c r="G870" s="16"/>
      <c r="H870" s="8" t="str">
        <f>IF(E870="","",IFERROR(INDEX(食材マスタ!$H$10:$H$309,MATCH(E870,食材マスタ!$C$10:$C$309,0)),""))</f>
        <v/>
      </c>
      <c r="I870" s="15" t="str">
        <f>IF(E870="","",IFERROR(INDEX(食材マスタ!$K$10:$K$309,MATCH(E870,食材マスタ!$C$10:$C$309,0)),""))</f>
        <v/>
      </c>
      <c r="J870" s="15" t="str">
        <f t="shared" si="65"/>
        <v/>
      </c>
      <c r="K870" s="20"/>
      <c r="L870" s="8" t="str">
        <f t="shared" si="66"/>
        <v/>
      </c>
      <c r="M870" s="9"/>
      <c r="N870" s="13" t="str">
        <f t="shared" si="67"/>
        <v/>
      </c>
      <c r="O870" s="22" t="str">
        <f t="shared" ca="1" si="68"/>
        <v/>
      </c>
      <c r="P870" s="17" t="str">
        <f t="shared" si="69"/>
        <v/>
      </c>
      <c r="Q870" s="11"/>
      <c r="R870" s="19"/>
      <c r="S870" s="19"/>
      <c r="U870">
        <f ca="1">IF(AND(ISNUMBER(O870),O870&lt;=設定!$C$4),1,0)</f>
        <v>0</v>
      </c>
      <c r="V870" t="str">
        <f ca="1">IF(U870=1,SUM($U$10:U870),"")</f>
        <v/>
      </c>
    </row>
    <row r="871" spans="2:22">
      <c r="B871" s="8" t="str">
        <f>IF(C871="","",COUNT($C$10:C871))</f>
        <v/>
      </c>
      <c r="C871" s="20"/>
      <c r="D871" s="11"/>
      <c r="E871" s="9"/>
      <c r="F871" s="21" t="str">
        <f>IF(E871="","",IFERROR(INDEX(食材マスタ!$D$10:$D$309,MATCH(E871,食材マスタ!$C$10:$C$309,0)),"※コード未登録"))</f>
        <v/>
      </c>
      <c r="G871" s="16"/>
      <c r="H871" s="8" t="str">
        <f>IF(E871="","",IFERROR(INDEX(食材マスタ!$H$10:$H$309,MATCH(E871,食材マスタ!$C$10:$C$309,0)),""))</f>
        <v/>
      </c>
      <c r="I871" s="15" t="str">
        <f>IF(E871="","",IFERROR(INDEX(食材マスタ!$K$10:$K$309,MATCH(E871,食材マスタ!$C$10:$C$309,0)),""))</f>
        <v/>
      </c>
      <c r="J871" s="15" t="str">
        <f t="shared" si="65"/>
        <v/>
      </c>
      <c r="K871" s="20"/>
      <c r="L871" s="8" t="str">
        <f t="shared" si="66"/>
        <v/>
      </c>
      <c r="M871" s="9"/>
      <c r="N871" s="13" t="str">
        <f t="shared" si="67"/>
        <v/>
      </c>
      <c r="O871" s="22" t="str">
        <f t="shared" ca="1" si="68"/>
        <v/>
      </c>
      <c r="P871" s="17" t="str">
        <f t="shared" si="69"/>
        <v/>
      </c>
      <c r="Q871" s="11"/>
      <c r="R871" s="19"/>
      <c r="S871" s="19"/>
      <c r="U871">
        <f ca="1">IF(AND(ISNUMBER(O871),O871&lt;=設定!$C$4),1,0)</f>
        <v>0</v>
      </c>
      <c r="V871" t="str">
        <f ca="1">IF(U871=1,SUM($U$10:U871),"")</f>
        <v/>
      </c>
    </row>
    <row r="872" spans="2:22">
      <c r="B872" s="8" t="str">
        <f>IF(C872="","",COUNT($C$10:C872))</f>
        <v/>
      </c>
      <c r="C872" s="20"/>
      <c r="D872" s="11"/>
      <c r="E872" s="9"/>
      <c r="F872" s="21" t="str">
        <f>IF(E872="","",IFERROR(INDEX(食材マスタ!$D$10:$D$309,MATCH(E872,食材マスタ!$C$10:$C$309,0)),"※コード未登録"))</f>
        <v/>
      </c>
      <c r="G872" s="16"/>
      <c r="H872" s="8" t="str">
        <f>IF(E872="","",IFERROR(INDEX(食材マスタ!$H$10:$H$309,MATCH(E872,食材マスタ!$C$10:$C$309,0)),""))</f>
        <v/>
      </c>
      <c r="I872" s="15" t="str">
        <f>IF(E872="","",IFERROR(INDEX(食材マスタ!$K$10:$K$309,MATCH(E872,食材マスタ!$C$10:$C$309,0)),""))</f>
        <v/>
      </c>
      <c r="J872" s="15" t="str">
        <f t="shared" si="65"/>
        <v/>
      </c>
      <c r="K872" s="20"/>
      <c r="L872" s="8" t="str">
        <f t="shared" si="66"/>
        <v/>
      </c>
      <c r="M872" s="9"/>
      <c r="N872" s="13" t="str">
        <f t="shared" si="67"/>
        <v/>
      </c>
      <c r="O872" s="22" t="str">
        <f t="shared" ca="1" si="68"/>
        <v/>
      </c>
      <c r="P872" s="17" t="str">
        <f t="shared" si="69"/>
        <v/>
      </c>
      <c r="Q872" s="11"/>
      <c r="R872" s="19"/>
      <c r="S872" s="19"/>
      <c r="U872">
        <f ca="1">IF(AND(ISNUMBER(O872),O872&lt;=設定!$C$4),1,0)</f>
        <v>0</v>
      </c>
      <c r="V872" t="str">
        <f ca="1">IF(U872=1,SUM($U$10:U872),"")</f>
        <v/>
      </c>
    </row>
    <row r="873" spans="2:22">
      <c r="B873" s="8" t="str">
        <f>IF(C873="","",COUNT($C$10:C873))</f>
        <v/>
      </c>
      <c r="C873" s="20"/>
      <c r="D873" s="11"/>
      <c r="E873" s="9"/>
      <c r="F873" s="21" t="str">
        <f>IF(E873="","",IFERROR(INDEX(食材マスタ!$D$10:$D$309,MATCH(E873,食材マスタ!$C$10:$C$309,0)),"※コード未登録"))</f>
        <v/>
      </c>
      <c r="G873" s="16"/>
      <c r="H873" s="8" t="str">
        <f>IF(E873="","",IFERROR(INDEX(食材マスタ!$H$10:$H$309,MATCH(E873,食材マスタ!$C$10:$C$309,0)),""))</f>
        <v/>
      </c>
      <c r="I873" s="15" t="str">
        <f>IF(E873="","",IFERROR(INDEX(食材マスタ!$K$10:$K$309,MATCH(E873,食材マスタ!$C$10:$C$309,0)),""))</f>
        <v/>
      </c>
      <c r="J873" s="15" t="str">
        <f t="shared" si="65"/>
        <v/>
      </c>
      <c r="K873" s="20"/>
      <c r="L873" s="8" t="str">
        <f t="shared" si="66"/>
        <v/>
      </c>
      <c r="M873" s="9"/>
      <c r="N873" s="13" t="str">
        <f t="shared" si="67"/>
        <v/>
      </c>
      <c r="O873" s="22" t="str">
        <f t="shared" ca="1" si="68"/>
        <v/>
      </c>
      <c r="P873" s="17" t="str">
        <f t="shared" si="69"/>
        <v/>
      </c>
      <c r="Q873" s="11"/>
      <c r="R873" s="19"/>
      <c r="S873" s="19"/>
      <c r="U873">
        <f ca="1">IF(AND(ISNUMBER(O873),O873&lt;=設定!$C$4),1,0)</f>
        <v>0</v>
      </c>
      <c r="V873" t="str">
        <f ca="1">IF(U873=1,SUM($U$10:U873),"")</f>
        <v/>
      </c>
    </row>
    <row r="874" spans="2:22">
      <c r="B874" s="8" t="str">
        <f>IF(C874="","",COUNT($C$10:C874))</f>
        <v/>
      </c>
      <c r="C874" s="20"/>
      <c r="D874" s="11"/>
      <c r="E874" s="9"/>
      <c r="F874" s="21" t="str">
        <f>IF(E874="","",IFERROR(INDEX(食材マスタ!$D$10:$D$309,MATCH(E874,食材マスタ!$C$10:$C$309,0)),"※コード未登録"))</f>
        <v/>
      </c>
      <c r="G874" s="16"/>
      <c r="H874" s="8" t="str">
        <f>IF(E874="","",IFERROR(INDEX(食材マスタ!$H$10:$H$309,MATCH(E874,食材マスタ!$C$10:$C$309,0)),""))</f>
        <v/>
      </c>
      <c r="I874" s="15" t="str">
        <f>IF(E874="","",IFERROR(INDEX(食材マスタ!$K$10:$K$309,MATCH(E874,食材マスタ!$C$10:$C$309,0)),""))</f>
        <v/>
      </c>
      <c r="J874" s="15" t="str">
        <f t="shared" si="65"/>
        <v/>
      </c>
      <c r="K874" s="20"/>
      <c r="L874" s="8" t="str">
        <f t="shared" si="66"/>
        <v/>
      </c>
      <c r="M874" s="9"/>
      <c r="N874" s="13" t="str">
        <f t="shared" si="67"/>
        <v/>
      </c>
      <c r="O874" s="22" t="str">
        <f t="shared" ca="1" si="68"/>
        <v/>
      </c>
      <c r="P874" s="17" t="str">
        <f t="shared" si="69"/>
        <v/>
      </c>
      <c r="Q874" s="11"/>
      <c r="R874" s="19"/>
      <c r="S874" s="19"/>
      <c r="U874">
        <f ca="1">IF(AND(ISNUMBER(O874),O874&lt;=設定!$C$4),1,0)</f>
        <v>0</v>
      </c>
      <c r="V874" t="str">
        <f ca="1">IF(U874=1,SUM($U$10:U874),"")</f>
        <v/>
      </c>
    </row>
    <row r="875" spans="2:22">
      <c r="B875" s="8" t="str">
        <f>IF(C875="","",COUNT($C$10:C875))</f>
        <v/>
      </c>
      <c r="C875" s="20"/>
      <c r="D875" s="11"/>
      <c r="E875" s="9"/>
      <c r="F875" s="21" t="str">
        <f>IF(E875="","",IFERROR(INDEX(食材マスタ!$D$10:$D$309,MATCH(E875,食材マスタ!$C$10:$C$309,0)),"※コード未登録"))</f>
        <v/>
      </c>
      <c r="G875" s="16"/>
      <c r="H875" s="8" t="str">
        <f>IF(E875="","",IFERROR(INDEX(食材マスタ!$H$10:$H$309,MATCH(E875,食材マスタ!$C$10:$C$309,0)),""))</f>
        <v/>
      </c>
      <c r="I875" s="15" t="str">
        <f>IF(E875="","",IFERROR(INDEX(食材マスタ!$K$10:$K$309,MATCH(E875,食材マスタ!$C$10:$C$309,0)),""))</f>
        <v/>
      </c>
      <c r="J875" s="15" t="str">
        <f t="shared" si="65"/>
        <v/>
      </c>
      <c r="K875" s="20"/>
      <c r="L875" s="8" t="str">
        <f t="shared" si="66"/>
        <v/>
      </c>
      <c r="M875" s="9"/>
      <c r="N875" s="13" t="str">
        <f t="shared" si="67"/>
        <v/>
      </c>
      <c r="O875" s="22" t="str">
        <f t="shared" ca="1" si="68"/>
        <v/>
      </c>
      <c r="P875" s="17" t="str">
        <f t="shared" si="69"/>
        <v/>
      </c>
      <c r="Q875" s="11"/>
      <c r="R875" s="19"/>
      <c r="S875" s="19"/>
      <c r="U875">
        <f ca="1">IF(AND(ISNUMBER(O875),O875&lt;=設定!$C$4),1,0)</f>
        <v>0</v>
      </c>
      <c r="V875" t="str">
        <f ca="1">IF(U875=1,SUM($U$10:U875),"")</f>
        <v/>
      </c>
    </row>
    <row r="876" spans="2:22">
      <c r="B876" s="8" t="str">
        <f>IF(C876="","",COUNT($C$10:C876))</f>
        <v/>
      </c>
      <c r="C876" s="20"/>
      <c r="D876" s="11"/>
      <c r="E876" s="9"/>
      <c r="F876" s="21" t="str">
        <f>IF(E876="","",IFERROR(INDEX(食材マスタ!$D$10:$D$309,MATCH(E876,食材マスタ!$C$10:$C$309,0)),"※コード未登録"))</f>
        <v/>
      </c>
      <c r="G876" s="16"/>
      <c r="H876" s="8" t="str">
        <f>IF(E876="","",IFERROR(INDEX(食材マスタ!$H$10:$H$309,MATCH(E876,食材マスタ!$C$10:$C$309,0)),""))</f>
        <v/>
      </c>
      <c r="I876" s="15" t="str">
        <f>IF(E876="","",IFERROR(INDEX(食材マスタ!$K$10:$K$309,MATCH(E876,食材マスタ!$C$10:$C$309,0)),""))</f>
        <v/>
      </c>
      <c r="J876" s="15" t="str">
        <f t="shared" si="65"/>
        <v/>
      </c>
      <c r="K876" s="20"/>
      <c r="L876" s="8" t="str">
        <f t="shared" si="66"/>
        <v/>
      </c>
      <c r="M876" s="9"/>
      <c r="N876" s="13" t="str">
        <f t="shared" si="67"/>
        <v/>
      </c>
      <c r="O876" s="22" t="str">
        <f t="shared" ca="1" si="68"/>
        <v/>
      </c>
      <c r="P876" s="17" t="str">
        <f t="shared" si="69"/>
        <v/>
      </c>
      <c r="Q876" s="11"/>
      <c r="R876" s="19"/>
      <c r="S876" s="19"/>
      <c r="U876">
        <f ca="1">IF(AND(ISNUMBER(O876),O876&lt;=設定!$C$4),1,0)</f>
        <v>0</v>
      </c>
      <c r="V876" t="str">
        <f ca="1">IF(U876=1,SUM($U$10:U876),"")</f>
        <v/>
      </c>
    </row>
    <row r="877" spans="2:22">
      <c r="B877" s="8" t="str">
        <f>IF(C877="","",COUNT($C$10:C877))</f>
        <v/>
      </c>
      <c r="C877" s="20"/>
      <c r="D877" s="11"/>
      <c r="E877" s="9"/>
      <c r="F877" s="21" t="str">
        <f>IF(E877="","",IFERROR(INDEX(食材マスタ!$D$10:$D$309,MATCH(E877,食材マスタ!$C$10:$C$309,0)),"※コード未登録"))</f>
        <v/>
      </c>
      <c r="G877" s="16"/>
      <c r="H877" s="8" t="str">
        <f>IF(E877="","",IFERROR(INDEX(食材マスタ!$H$10:$H$309,MATCH(E877,食材マスタ!$C$10:$C$309,0)),""))</f>
        <v/>
      </c>
      <c r="I877" s="15" t="str">
        <f>IF(E877="","",IFERROR(INDEX(食材マスタ!$K$10:$K$309,MATCH(E877,食材マスタ!$C$10:$C$309,0)),""))</f>
        <v/>
      </c>
      <c r="J877" s="15" t="str">
        <f t="shared" si="65"/>
        <v/>
      </c>
      <c r="K877" s="20"/>
      <c r="L877" s="8" t="str">
        <f t="shared" si="66"/>
        <v/>
      </c>
      <c r="M877" s="9"/>
      <c r="N877" s="13" t="str">
        <f t="shared" si="67"/>
        <v/>
      </c>
      <c r="O877" s="22" t="str">
        <f t="shared" ca="1" si="68"/>
        <v/>
      </c>
      <c r="P877" s="17" t="str">
        <f t="shared" si="69"/>
        <v/>
      </c>
      <c r="Q877" s="11"/>
      <c r="R877" s="19"/>
      <c r="S877" s="19"/>
      <c r="U877">
        <f ca="1">IF(AND(ISNUMBER(O877),O877&lt;=設定!$C$4),1,0)</f>
        <v>0</v>
      </c>
      <c r="V877" t="str">
        <f ca="1">IF(U877=1,SUM($U$10:U877),"")</f>
        <v/>
      </c>
    </row>
    <row r="878" spans="2:22">
      <c r="B878" s="8" t="str">
        <f>IF(C878="","",COUNT($C$10:C878))</f>
        <v/>
      </c>
      <c r="C878" s="20"/>
      <c r="D878" s="11"/>
      <c r="E878" s="9"/>
      <c r="F878" s="21" t="str">
        <f>IF(E878="","",IFERROR(INDEX(食材マスタ!$D$10:$D$309,MATCH(E878,食材マスタ!$C$10:$C$309,0)),"※コード未登録"))</f>
        <v/>
      </c>
      <c r="G878" s="16"/>
      <c r="H878" s="8" t="str">
        <f>IF(E878="","",IFERROR(INDEX(食材マスタ!$H$10:$H$309,MATCH(E878,食材マスタ!$C$10:$C$309,0)),""))</f>
        <v/>
      </c>
      <c r="I878" s="15" t="str">
        <f>IF(E878="","",IFERROR(INDEX(食材マスタ!$K$10:$K$309,MATCH(E878,食材マスタ!$C$10:$C$309,0)),""))</f>
        <v/>
      </c>
      <c r="J878" s="15" t="str">
        <f t="shared" si="65"/>
        <v/>
      </c>
      <c r="K878" s="20"/>
      <c r="L878" s="8" t="str">
        <f t="shared" si="66"/>
        <v/>
      </c>
      <c r="M878" s="9"/>
      <c r="N878" s="13" t="str">
        <f t="shared" si="67"/>
        <v/>
      </c>
      <c r="O878" s="22" t="str">
        <f t="shared" ca="1" si="68"/>
        <v/>
      </c>
      <c r="P878" s="17" t="str">
        <f t="shared" si="69"/>
        <v/>
      </c>
      <c r="Q878" s="11"/>
      <c r="R878" s="19"/>
      <c r="S878" s="19"/>
      <c r="U878">
        <f ca="1">IF(AND(ISNUMBER(O878),O878&lt;=設定!$C$4),1,0)</f>
        <v>0</v>
      </c>
      <c r="V878" t="str">
        <f ca="1">IF(U878=1,SUM($U$10:U878),"")</f>
        <v/>
      </c>
    </row>
    <row r="879" spans="2:22">
      <c r="B879" s="8" t="str">
        <f>IF(C879="","",COUNT($C$10:C879))</f>
        <v/>
      </c>
      <c r="C879" s="20"/>
      <c r="D879" s="11"/>
      <c r="E879" s="9"/>
      <c r="F879" s="21" t="str">
        <f>IF(E879="","",IFERROR(INDEX(食材マスタ!$D$10:$D$309,MATCH(E879,食材マスタ!$C$10:$C$309,0)),"※コード未登録"))</f>
        <v/>
      </c>
      <c r="G879" s="16"/>
      <c r="H879" s="8" t="str">
        <f>IF(E879="","",IFERROR(INDEX(食材マスタ!$H$10:$H$309,MATCH(E879,食材マスタ!$C$10:$C$309,0)),""))</f>
        <v/>
      </c>
      <c r="I879" s="15" t="str">
        <f>IF(E879="","",IFERROR(INDEX(食材マスタ!$K$10:$K$309,MATCH(E879,食材マスタ!$C$10:$C$309,0)),""))</f>
        <v/>
      </c>
      <c r="J879" s="15" t="str">
        <f t="shared" si="65"/>
        <v/>
      </c>
      <c r="K879" s="20"/>
      <c r="L879" s="8" t="str">
        <f t="shared" si="66"/>
        <v/>
      </c>
      <c r="M879" s="9"/>
      <c r="N879" s="13" t="str">
        <f t="shared" si="67"/>
        <v/>
      </c>
      <c r="O879" s="22" t="str">
        <f t="shared" ca="1" si="68"/>
        <v/>
      </c>
      <c r="P879" s="17" t="str">
        <f t="shared" si="69"/>
        <v/>
      </c>
      <c r="Q879" s="11"/>
      <c r="R879" s="19"/>
      <c r="S879" s="19"/>
      <c r="U879">
        <f ca="1">IF(AND(ISNUMBER(O879),O879&lt;=設定!$C$4),1,0)</f>
        <v>0</v>
      </c>
      <c r="V879" t="str">
        <f ca="1">IF(U879=1,SUM($U$10:U879),"")</f>
        <v/>
      </c>
    </row>
    <row r="880" spans="2:22">
      <c r="B880" s="8" t="str">
        <f>IF(C880="","",COUNT($C$10:C880))</f>
        <v/>
      </c>
      <c r="C880" s="20"/>
      <c r="D880" s="11"/>
      <c r="E880" s="9"/>
      <c r="F880" s="21" t="str">
        <f>IF(E880="","",IFERROR(INDEX(食材マスタ!$D$10:$D$309,MATCH(E880,食材マスタ!$C$10:$C$309,0)),"※コード未登録"))</f>
        <v/>
      </c>
      <c r="G880" s="16"/>
      <c r="H880" s="8" t="str">
        <f>IF(E880="","",IFERROR(INDEX(食材マスタ!$H$10:$H$309,MATCH(E880,食材マスタ!$C$10:$C$309,0)),""))</f>
        <v/>
      </c>
      <c r="I880" s="15" t="str">
        <f>IF(E880="","",IFERROR(INDEX(食材マスタ!$K$10:$K$309,MATCH(E880,食材マスタ!$C$10:$C$309,0)),""))</f>
        <v/>
      </c>
      <c r="J880" s="15" t="str">
        <f t="shared" si="65"/>
        <v/>
      </c>
      <c r="K880" s="20"/>
      <c r="L880" s="8" t="str">
        <f t="shared" si="66"/>
        <v/>
      </c>
      <c r="M880" s="9"/>
      <c r="N880" s="13" t="str">
        <f t="shared" si="67"/>
        <v/>
      </c>
      <c r="O880" s="22" t="str">
        <f t="shared" ca="1" si="68"/>
        <v/>
      </c>
      <c r="P880" s="17" t="str">
        <f t="shared" si="69"/>
        <v/>
      </c>
      <c r="Q880" s="11"/>
      <c r="R880" s="19"/>
      <c r="S880" s="19"/>
      <c r="U880">
        <f ca="1">IF(AND(ISNUMBER(O880),O880&lt;=設定!$C$4),1,0)</f>
        <v>0</v>
      </c>
      <c r="V880" t="str">
        <f ca="1">IF(U880=1,SUM($U$10:U880),"")</f>
        <v/>
      </c>
    </row>
    <row r="881" spans="2:22">
      <c r="B881" s="8" t="str">
        <f>IF(C881="","",COUNT($C$10:C881))</f>
        <v/>
      </c>
      <c r="C881" s="20"/>
      <c r="D881" s="11"/>
      <c r="E881" s="9"/>
      <c r="F881" s="21" t="str">
        <f>IF(E881="","",IFERROR(INDEX(食材マスタ!$D$10:$D$309,MATCH(E881,食材マスタ!$C$10:$C$309,0)),"※コード未登録"))</f>
        <v/>
      </c>
      <c r="G881" s="16"/>
      <c r="H881" s="8" t="str">
        <f>IF(E881="","",IFERROR(INDEX(食材マスタ!$H$10:$H$309,MATCH(E881,食材マスタ!$C$10:$C$309,0)),""))</f>
        <v/>
      </c>
      <c r="I881" s="15" t="str">
        <f>IF(E881="","",IFERROR(INDEX(食材マスタ!$K$10:$K$309,MATCH(E881,食材マスタ!$C$10:$C$309,0)),""))</f>
        <v/>
      </c>
      <c r="J881" s="15" t="str">
        <f t="shared" si="65"/>
        <v/>
      </c>
      <c r="K881" s="20"/>
      <c r="L881" s="8" t="str">
        <f t="shared" si="66"/>
        <v/>
      </c>
      <c r="M881" s="9"/>
      <c r="N881" s="13" t="str">
        <f t="shared" si="67"/>
        <v/>
      </c>
      <c r="O881" s="22" t="str">
        <f t="shared" ca="1" si="68"/>
        <v/>
      </c>
      <c r="P881" s="17" t="str">
        <f t="shared" si="69"/>
        <v/>
      </c>
      <c r="Q881" s="11"/>
      <c r="R881" s="19"/>
      <c r="S881" s="19"/>
      <c r="U881">
        <f ca="1">IF(AND(ISNUMBER(O881),O881&lt;=設定!$C$4),1,0)</f>
        <v>0</v>
      </c>
      <c r="V881" t="str">
        <f ca="1">IF(U881=1,SUM($U$10:U881),"")</f>
        <v/>
      </c>
    </row>
    <row r="882" spans="2:22">
      <c r="B882" s="8" t="str">
        <f>IF(C882="","",COUNT($C$10:C882))</f>
        <v/>
      </c>
      <c r="C882" s="20"/>
      <c r="D882" s="11"/>
      <c r="E882" s="9"/>
      <c r="F882" s="21" t="str">
        <f>IF(E882="","",IFERROR(INDEX(食材マスタ!$D$10:$D$309,MATCH(E882,食材マスタ!$C$10:$C$309,0)),"※コード未登録"))</f>
        <v/>
      </c>
      <c r="G882" s="16"/>
      <c r="H882" s="8" t="str">
        <f>IF(E882="","",IFERROR(INDEX(食材マスタ!$H$10:$H$309,MATCH(E882,食材マスタ!$C$10:$C$309,0)),""))</f>
        <v/>
      </c>
      <c r="I882" s="15" t="str">
        <f>IF(E882="","",IFERROR(INDEX(食材マスタ!$K$10:$K$309,MATCH(E882,食材マスタ!$C$10:$C$309,0)),""))</f>
        <v/>
      </c>
      <c r="J882" s="15" t="str">
        <f t="shared" si="65"/>
        <v/>
      </c>
      <c r="K882" s="20"/>
      <c r="L882" s="8" t="str">
        <f t="shared" si="66"/>
        <v/>
      </c>
      <c r="M882" s="9"/>
      <c r="N882" s="13" t="str">
        <f t="shared" si="67"/>
        <v/>
      </c>
      <c r="O882" s="22" t="str">
        <f t="shared" ca="1" si="68"/>
        <v/>
      </c>
      <c r="P882" s="17" t="str">
        <f t="shared" si="69"/>
        <v/>
      </c>
      <c r="Q882" s="11"/>
      <c r="R882" s="19"/>
      <c r="S882" s="19"/>
      <c r="U882">
        <f ca="1">IF(AND(ISNUMBER(O882),O882&lt;=設定!$C$4),1,0)</f>
        <v>0</v>
      </c>
      <c r="V882" t="str">
        <f ca="1">IF(U882=1,SUM($U$10:U882),"")</f>
        <v/>
      </c>
    </row>
    <row r="883" spans="2:22">
      <c r="B883" s="8" t="str">
        <f>IF(C883="","",COUNT($C$10:C883))</f>
        <v/>
      </c>
      <c r="C883" s="20"/>
      <c r="D883" s="11"/>
      <c r="E883" s="9"/>
      <c r="F883" s="21" t="str">
        <f>IF(E883="","",IFERROR(INDEX(食材マスタ!$D$10:$D$309,MATCH(E883,食材マスタ!$C$10:$C$309,0)),"※コード未登録"))</f>
        <v/>
      </c>
      <c r="G883" s="16"/>
      <c r="H883" s="8" t="str">
        <f>IF(E883="","",IFERROR(INDEX(食材マスタ!$H$10:$H$309,MATCH(E883,食材マスタ!$C$10:$C$309,0)),""))</f>
        <v/>
      </c>
      <c r="I883" s="15" t="str">
        <f>IF(E883="","",IFERROR(INDEX(食材マスタ!$K$10:$K$309,MATCH(E883,食材マスタ!$C$10:$C$309,0)),""))</f>
        <v/>
      </c>
      <c r="J883" s="15" t="str">
        <f t="shared" si="65"/>
        <v/>
      </c>
      <c r="K883" s="20"/>
      <c r="L883" s="8" t="str">
        <f t="shared" si="66"/>
        <v/>
      </c>
      <c r="M883" s="9"/>
      <c r="N883" s="13" t="str">
        <f t="shared" si="67"/>
        <v/>
      </c>
      <c r="O883" s="22" t="str">
        <f t="shared" ca="1" si="68"/>
        <v/>
      </c>
      <c r="P883" s="17" t="str">
        <f t="shared" si="69"/>
        <v/>
      </c>
      <c r="Q883" s="11"/>
      <c r="R883" s="19"/>
      <c r="S883" s="19"/>
      <c r="U883">
        <f ca="1">IF(AND(ISNUMBER(O883),O883&lt;=設定!$C$4),1,0)</f>
        <v>0</v>
      </c>
      <c r="V883" t="str">
        <f ca="1">IF(U883=1,SUM($U$10:U883),"")</f>
        <v/>
      </c>
    </row>
    <row r="884" spans="2:22">
      <c r="B884" s="8" t="str">
        <f>IF(C884="","",COUNT($C$10:C884))</f>
        <v/>
      </c>
      <c r="C884" s="20"/>
      <c r="D884" s="11"/>
      <c r="E884" s="9"/>
      <c r="F884" s="21" t="str">
        <f>IF(E884="","",IFERROR(INDEX(食材マスタ!$D$10:$D$309,MATCH(E884,食材マスタ!$C$10:$C$309,0)),"※コード未登録"))</f>
        <v/>
      </c>
      <c r="G884" s="16"/>
      <c r="H884" s="8" t="str">
        <f>IF(E884="","",IFERROR(INDEX(食材マスタ!$H$10:$H$309,MATCH(E884,食材マスタ!$C$10:$C$309,0)),""))</f>
        <v/>
      </c>
      <c r="I884" s="15" t="str">
        <f>IF(E884="","",IFERROR(INDEX(食材マスタ!$K$10:$K$309,MATCH(E884,食材マスタ!$C$10:$C$309,0)),""))</f>
        <v/>
      </c>
      <c r="J884" s="15" t="str">
        <f t="shared" si="65"/>
        <v/>
      </c>
      <c r="K884" s="20"/>
      <c r="L884" s="8" t="str">
        <f t="shared" si="66"/>
        <v/>
      </c>
      <c r="M884" s="9"/>
      <c r="N884" s="13" t="str">
        <f t="shared" si="67"/>
        <v/>
      </c>
      <c r="O884" s="22" t="str">
        <f t="shared" ca="1" si="68"/>
        <v/>
      </c>
      <c r="P884" s="17" t="str">
        <f t="shared" si="69"/>
        <v/>
      </c>
      <c r="Q884" s="11"/>
      <c r="R884" s="19"/>
      <c r="S884" s="19"/>
      <c r="U884">
        <f ca="1">IF(AND(ISNUMBER(O884),O884&lt;=設定!$C$4),1,0)</f>
        <v>0</v>
      </c>
      <c r="V884" t="str">
        <f ca="1">IF(U884=1,SUM($U$10:U884),"")</f>
        <v/>
      </c>
    </row>
    <row r="885" spans="2:22">
      <c r="B885" s="8" t="str">
        <f>IF(C885="","",COUNT($C$10:C885))</f>
        <v/>
      </c>
      <c r="C885" s="20"/>
      <c r="D885" s="11"/>
      <c r="E885" s="9"/>
      <c r="F885" s="21" t="str">
        <f>IF(E885="","",IFERROR(INDEX(食材マスタ!$D$10:$D$309,MATCH(E885,食材マスタ!$C$10:$C$309,0)),"※コード未登録"))</f>
        <v/>
      </c>
      <c r="G885" s="16"/>
      <c r="H885" s="8" t="str">
        <f>IF(E885="","",IFERROR(INDEX(食材マスタ!$H$10:$H$309,MATCH(E885,食材マスタ!$C$10:$C$309,0)),""))</f>
        <v/>
      </c>
      <c r="I885" s="15" t="str">
        <f>IF(E885="","",IFERROR(INDEX(食材マスタ!$K$10:$K$309,MATCH(E885,食材マスタ!$C$10:$C$309,0)),""))</f>
        <v/>
      </c>
      <c r="J885" s="15" t="str">
        <f t="shared" si="65"/>
        <v/>
      </c>
      <c r="K885" s="20"/>
      <c r="L885" s="8" t="str">
        <f t="shared" si="66"/>
        <v/>
      </c>
      <c r="M885" s="9"/>
      <c r="N885" s="13" t="str">
        <f t="shared" si="67"/>
        <v/>
      </c>
      <c r="O885" s="22" t="str">
        <f t="shared" ca="1" si="68"/>
        <v/>
      </c>
      <c r="P885" s="17" t="str">
        <f t="shared" si="69"/>
        <v/>
      </c>
      <c r="Q885" s="11"/>
      <c r="R885" s="19"/>
      <c r="S885" s="19"/>
      <c r="U885">
        <f ca="1">IF(AND(ISNUMBER(O885),O885&lt;=設定!$C$4),1,0)</f>
        <v>0</v>
      </c>
      <c r="V885" t="str">
        <f ca="1">IF(U885=1,SUM($U$10:U885),"")</f>
        <v/>
      </c>
    </row>
    <row r="886" spans="2:22">
      <c r="B886" s="8" t="str">
        <f>IF(C886="","",COUNT($C$10:C886))</f>
        <v/>
      </c>
      <c r="C886" s="20"/>
      <c r="D886" s="11"/>
      <c r="E886" s="9"/>
      <c r="F886" s="21" t="str">
        <f>IF(E886="","",IFERROR(INDEX(食材マスタ!$D$10:$D$309,MATCH(E886,食材マスタ!$C$10:$C$309,0)),"※コード未登録"))</f>
        <v/>
      </c>
      <c r="G886" s="16"/>
      <c r="H886" s="8" t="str">
        <f>IF(E886="","",IFERROR(INDEX(食材マスタ!$H$10:$H$309,MATCH(E886,食材マスタ!$C$10:$C$309,0)),""))</f>
        <v/>
      </c>
      <c r="I886" s="15" t="str">
        <f>IF(E886="","",IFERROR(INDEX(食材マスタ!$K$10:$K$309,MATCH(E886,食材マスタ!$C$10:$C$309,0)),""))</f>
        <v/>
      </c>
      <c r="J886" s="15" t="str">
        <f t="shared" si="65"/>
        <v/>
      </c>
      <c r="K886" s="20"/>
      <c r="L886" s="8" t="str">
        <f t="shared" si="66"/>
        <v/>
      </c>
      <c r="M886" s="9"/>
      <c r="N886" s="13" t="str">
        <f t="shared" si="67"/>
        <v/>
      </c>
      <c r="O886" s="22" t="str">
        <f t="shared" ca="1" si="68"/>
        <v/>
      </c>
      <c r="P886" s="17" t="str">
        <f t="shared" si="69"/>
        <v/>
      </c>
      <c r="Q886" s="11"/>
      <c r="R886" s="19"/>
      <c r="S886" s="19"/>
      <c r="U886">
        <f ca="1">IF(AND(ISNUMBER(O886),O886&lt;=設定!$C$4),1,0)</f>
        <v>0</v>
      </c>
      <c r="V886" t="str">
        <f ca="1">IF(U886=1,SUM($U$10:U886),"")</f>
        <v/>
      </c>
    </row>
    <row r="887" spans="2:22">
      <c r="B887" s="8" t="str">
        <f>IF(C887="","",COUNT($C$10:C887))</f>
        <v/>
      </c>
      <c r="C887" s="20"/>
      <c r="D887" s="11"/>
      <c r="E887" s="9"/>
      <c r="F887" s="21" t="str">
        <f>IF(E887="","",IFERROR(INDEX(食材マスタ!$D$10:$D$309,MATCH(E887,食材マスタ!$C$10:$C$309,0)),"※コード未登録"))</f>
        <v/>
      </c>
      <c r="G887" s="16"/>
      <c r="H887" s="8" t="str">
        <f>IF(E887="","",IFERROR(INDEX(食材マスタ!$H$10:$H$309,MATCH(E887,食材マスタ!$C$10:$C$309,0)),""))</f>
        <v/>
      </c>
      <c r="I887" s="15" t="str">
        <f>IF(E887="","",IFERROR(INDEX(食材マスタ!$K$10:$K$309,MATCH(E887,食材マスタ!$C$10:$C$309,0)),""))</f>
        <v/>
      </c>
      <c r="J887" s="15" t="str">
        <f t="shared" si="65"/>
        <v/>
      </c>
      <c r="K887" s="20"/>
      <c r="L887" s="8" t="str">
        <f t="shared" si="66"/>
        <v/>
      </c>
      <c r="M887" s="9"/>
      <c r="N887" s="13" t="str">
        <f t="shared" si="67"/>
        <v/>
      </c>
      <c r="O887" s="22" t="str">
        <f t="shared" ca="1" si="68"/>
        <v/>
      </c>
      <c r="P887" s="17" t="str">
        <f t="shared" si="69"/>
        <v/>
      </c>
      <c r="Q887" s="11"/>
      <c r="R887" s="19"/>
      <c r="S887" s="19"/>
      <c r="U887">
        <f ca="1">IF(AND(ISNUMBER(O887),O887&lt;=設定!$C$4),1,0)</f>
        <v>0</v>
      </c>
      <c r="V887" t="str">
        <f ca="1">IF(U887=1,SUM($U$10:U887),"")</f>
        <v/>
      </c>
    </row>
    <row r="888" spans="2:22">
      <c r="B888" s="8" t="str">
        <f>IF(C888="","",COUNT($C$10:C888))</f>
        <v/>
      </c>
      <c r="C888" s="20"/>
      <c r="D888" s="11"/>
      <c r="E888" s="9"/>
      <c r="F888" s="21" t="str">
        <f>IF(E888="","",IFERROR(INDEX(食材マスタ!$D$10:$D$309,MATCH(E888,食材マスタ!$C$10:$C$309,0)),"※コード未登録"))</f>
        <v/>
      </c>
      <c r="G888" s="16"/>
      <c r="H888" s="8" t="str">
        <f>IF(E888="","",IFERROR(INDEX(食材マスタ!$H$10:$H$309,MATCH(E888,食材マスタ!$C$10:$C$309,0)),""))</f>
        <v/>
      </c>
      <c r="I888" s="15" t="str">
        <f>IF(E888="","",IFERROR(INDEX(食材マスタ!$K$10:$K$309,MATCH(E888,食材マスタ!$C$10:$C$309,0)),""))</f>
        <v/>
      </c>
      <c r="J888" s="15" t="str">
        <f t="shared" si="65"/>
        <v/>
      </c>
      <c r="K888" s="20"/>
      <c r="L888" s="8" t="str">
        <f t="shared" si="66"/>
        <v/>
      </c>
      <c r="M888" s="9"/>
      <c r="N888" s="13" t="str">
        <f t="shared" si="67"/>
        <v/>
      </c>
      <c r="O888" s="22" t="str">
        <f t="shared" ca="1" si="68"/>
        <v/>
      </c>
      <c r="P888" s="17" t="str">
        <f t="shared" si="69"/>
        <v/>
      </c>
      <c r="Q888" s="11"/>
      <c r="R888" s="19"/>
      <c r="S888" s="19"/>
      <c r="U888">
        <f ca="1">IF(AND(ISNUMBER(O888),O888&lt;=設定!$C$4),1,0)</f>
        <v>0</v>
      </c>
      <c r="V888" t="str">
        <f ca="1">IF(U888=1,SUM($U$10:U888),"")</f>
        <v/>
      </c>
    </row>
    <row r="889" spans="2:22">
      <c r="B889" s="8" t="str">
        <f>IF(C889="","",COUNT($C$10:C889))</f>
        <v/>
      </c>
      <c r="C889" s="20"/>
      <c r="D889" s="11"/>
      <c r="E889" s="9"/>
      <c r="F889" s="21" t="str">
        <f>IF(E889="","",IFERROR(INDEX(食材マスタ!$D$10:$D$309,MATCH(E889,食材マスタ!$C$10:$C$309,0)),"※コード未登録"))</f>
        <v/>
      </c>
      <c r="G889" s="16"/>
      <c r="H889" s="8" t="str">
        <f>IF(E889="","",IFERROR(INDEX(食材マスタ!$H$10:$H$309,MATCH(E889,食材マスタ!$C$10:$C$309,0)),""))</f>
        <v/>
      </c>
      <c r="I889" s="15" t="str">
        <f>IF(E889="","",IFERROR(INDEX(食材マスタ!$K$10:$K$309,MATCH(E889,食材マスタ!$C$10:$C$309,0)),""))</f>
        <v/>
      </c>
      <c r="J889" s="15" t="str">
        <f t="shared" si="65"/>
        <v/>
      </c>
      <c r="K889" s="20"/>
      <c r="L889" s="8" t="str">
        <f t="shared" si="66"/>
        <v/>
      </c>
      <c r="M889" s="9"/>
      <c r="N889" s="13" t="str">
        <f t="shared" si="67"/>
        <v/>
      </c>
      <c r="O889" s="22" t="str">
        <f t="shared" ca="1" si="68"/>
        <v/>
      </c>
      <c r="P889" s="17" t="str">
        <f t="shared" si="69"/>
        <v/>
      </c>
      <c r="Q889" s="11"/>
      <c r="R889" s="19"/>
      <c r="S889" s="19"/>
      <c r="U889">
        <f ca="1">IF(AND(ISNUMBER(O889),O889&lt;=設定!$C$4),1,0)</f>
        <v>0</v>
      </c>
      <c r="V889" t="str">
        <f ca="1">IF(U889=1,SUM($U$10:U889),"")</f>
        <v/>
      </c>
    </row>
    <row r="890" spans="2:22">
      <c r="B890" s="8" t="str">
        <f>IF(C890="","",COUNT($C$10:C890))</f>
        <v/>
      </c>
      <c r="C890" s="20"/>
      <c r="D890" s="11"/>
      <c r="E890" s="9"/>
      <c r="F890" s="21" t="str">
        <f>IF(E890="","",IFERROR(INDEX(食材マスタ!$D$10:$D$309,MATCH(E890,食材マスタ!$C$10:$C$309,0)),"※コード未登録"))</f>
        <v/>
      </c>
      <c r="G890" s="16"/>
      <c r="H890" s="8" t="str">
        <f>IF(E890="","",IFERROR(INDEX(食材マスタ!$H$10:$H$309,MATCH(E890,食材マスタ!$C$10:$C$309,0)),""))</f>
        <v/>
      </c>
      <c r="I890" s="15" t="str">
        <f>IF(E890="","",IFERROR(INDEX(食材マスタ!$K$10:$K$309,MATCH(E890,食材マスタ!$C$10:$C$309,0)),""))</f>
        <v/>
      </c>
      <c r="J890" s="15" t="str">
        <f t="shared" si="65"/>
        <v/>
      </c>
      <c r="K890" s="20"/>
      <c r="L890" s="8" t="str">
        <f t="shared" si="66"/>
        <v/>
      </c>
      <c r="M890" s="9"/>
      <c r="N890" s="13" t="str">
        <f t="shared" si="67"/>
        <v/>
      </c>
      <c r="O890" s="22" t="str">
        <f t="shared" ca="1" si="68"/>
        <v/>
      </c>
      <c r="P890" s="17" t="str">
        <f t="shared" si="69"/>
        <v/>
      </c>
      <c r="Q890" s="11"/>
      <c r="R890" s="19"/>
      <c r="S890" s="19"/>
      <c r="U890">
        <f ca="1">IF(AND(ISNUMBER(O890),O890&lt;=設定!$C$4),1,0)</f>
        <v>0</v>
      </c>
      <c r="V890" t="str">
        <f ca="1">IF(U890=1,SUM($U$10:U890),"")</f>
        <v/>
      </c>
    </row>
    <row r="891" spans="2:22">
      <c r="B891" s="8" t="str">
        <f>IF(C891="","",COUNT($C$10:C891))</f>
        <v/>
      </c>
      <c r="C891" s="20"/>
      <c r="D891" s="11"/>
      <c r="E891" s="9"/>
      <c r="F891" s="21" t="str">
        <f>IF(E891="","",IFERROR(INDEX(食材マスタ!$D$10:$D$309,MATCH(E891,食材マスタ!$C$10:$C$309,0)),"※コード未登録"))</f>
        <v/>
      </c>
      <c r="G891" s="16"/>
      <c r="H891" s="8" t="str">
        <f>IF(E891="","",IFERROR(INDEX(食材マスタ!$H$10:$H$309,MATCH(E891,食材マスタ!$C$10:$C$309,0)),""))</f>
        <v/>
      </c>
      <c r="I891" s="15" t="str">
        <f>IF(E891="","",IFERROR(INDEX(食材マスタ!$K$10:$K$309,MATCH(E891,食材マスタ!$C$10:$C$309,0)),""))</f>
        <v/>
      </c>
      <c r="J891" s="15" t="str">
        <f t="shared" si="65"/>
        <v/>
      </c>
      <c r="K891" s="20"/>
      <c r="L891" s="8" t="str">
        <f t="shared" si="66"/>
        <v/>
      </c>
      <c r="M891" s="9"/>
      <c r="N891" s="13" t="str">
        <f t="shared" si="67"/>
        <v/>
      </c>
      <c r="O891" s="22" t="str">
        <f t="shared" ca="1" si="68"/>
        <v/>
      </c>
      <c r="P891" s="17" t="str">
        <f t="shared" si="69"/>
        <v/>
      </c>
      <c r="Q891" s="11"/>
      <c r="R891" s="19"/>
      <c r="S891" s="19"/>
      <c r="U891">
        <f ca="1">IF(AND(ISNUMBER(O891),O891&lt;=設定!$C$4),1,0)</f>
        <v>0</v>
      </c>
      <c r="V891" t="str">
        <f ca="1">IF(U891=1,SUM($U$10:U891),"")</f>
        <v/>
      </c>
    </row>
    <row r="892" spans="2:22">
      <c r="B892" s="8" t="str">
        <f>IF(C892="","",COUNT($C$10:C892))</f>
        <v/>
      </c>
      <c r="C892" s="20"/>
      <c r="D892" s="11"/>
      <c r="E892" s="9"/>
      <c r="F892" s="21" t="str">
        <f>IF(E892="","",IFERROR(INDEX(食材マスタ!$D$10:$D$309,MATCH(E892,食材マスタ!$C$10:$C$309,0)),"※コード未登録"))</f>
        <v/>
      </c>
      <c r="G892" s="16"/>
      <c r="H892" s="8" t="str">
        <f>IF(E892="","",IFERROR(INDEX(食材マスタ!$H$10:$H$309,MATCH(E892,食材マスタ!$C$10:$C$309,0)),""))</f>
        <v/>
      </c>
      <c r="I892" s="15" t="str">
        <f>IF(E892="","",IFERROR(INDEX(食材マスタ!$K$10:$K$309,MATCH(E892,食材マスタ!$C$10:$C$309,0)),""))</f>
        <v/>
      </c>
      <c r="J892" s="15" t="str">
        <f t="shared" si="65"/>
        <v/>
      </c>
      <c r="K892" s="20"/>
      <c r="L892" s="8" t="str">
        <f t="shared" si="66"/>
        <v/>
      </c>
      <c r="M892" s="9"/>
      <c r="N892" s="13" t="str">
        <f t="shared" si="67"/>
        <v/>
      </c>
      <c r="O892" s="22" t="str">
        <f t="shared" ca="1" si="68"/>
        <v/>
      </c>
      <c r="P892" s="17" t="str">
        <f t="shared" si="69"/>
        <v/>
      </c>
      <c r="Q892" s="11"/>
      <c r="R892" s="19"/>
      <c r="S892" s="19"/>
      <c r="U892">
        <f ca="1">IF(AND(ISNUMBER(O892),O892&lt;=設定!$C$4),1,0)</f>
        <v>0</v>
      </c>
      <c r="V892" t="str">
        <f ca="1">IF(U892=1,SUM($U$10:U892),"")</f>
        <v/>
      </c>
    </row>
    <row r="893" spans="2:22">
      <c r="B893" s="8" t="str">
        <f>IF(C893="","",COUNT($C$10:C893))</f>
        <v/>
      </c>
      <c r="C893" s="20"/>
      <c r="D893" s="11"/>
      <c r="E893" s="9"/>
      <c r="F893" s="21" t="str">
        <f>IF(E893="","",IFERROR(INDEX(食材マスタ!$D$10:$D$309,MATCH(E893,食材マスタ!$C$10:$C$309,0)),"※コード未登録"))</f>
        <v/>
      </c>
      <c r="G893" s="16"/>
      <c r="H893" s="8" t="str">
        <f>IF(E893="","",IFERROR(INDEX(食材マスタ!$H$10:$H$309,MATCH(E893,食材マスタ!$C$10:$C$309,0)),""))</f>
        <v/>
      </c>
      <c r="I893" s="15" t="str">
        <f>IF(E893="","",IFERROR(INDEX(食材マスタ!$K$10:$K$309,MATCH(E893,食材マスタ!$C$10:$C$309,0)),""))</f>
        <v/>
      </c>
      <c r="J893" s="15" t="str">
        <f t="shared" si="65"/>
        <v/>
      </c>
      <c r="K893" s="20"/>
      <c r="L893" s="8" t="str">
        <f t="shared" si="66"/>
        <v/>
      </c>
      <c r="M893" s="9"/>
      <c r="N893" s="13" t="str">
        <f t="shared" si="67"/>
        <v/>
      </c>
      <c r="O893" s="22" t="str">
        <f t="shared" ca="1" si="68"/>
        <v/>
      </c>
      <c r="P893" s="17" t="str">
        <f t="shared" si="69"/>
        <v/>
      </c>
      <c r="Q893" s="11"/>
      <c r="R893" s="19"/>
      <c r="S893" s="19"/>
      <c r="U893">
        <f ca="1">IF(AND(ISNUMBER(O893),O893&lt;=設定!$C$4),1,0)</f>
        <v>0</v>
      </c>
      <c r="V893" t="str">
        <f ca="1">IF(U893=1,SUM($U$10:U893),"")</f>
        <v/>
      </c>
    </row>
    <row r="894" spans="2:22">
      <c r="B894" s="8" t="str">
        <f>IF(C894="","",COUNT($C$10:C894))</f>
        <v/>
      </c>
      <c r="C894" s="20"/>
      <c r="D894" s="11"/>
      <c r="E894" s="9"/>
      <c r="F894" s="21" t="str">
        <f>IF(E894="","",IFERROR(INDEX(食材マスタ!$D$10:$D$309,MATCH(E894,食材マスタ!$C$10:$C$309,0)),"※コード未登録"))</f>
        <v/>
      </c>
      <c r="G894" s="16"/>
      <c r="H894" s="8" t="str">
        <f>IF(E894="","",IFERROR(INDEX(食材マスタ!$H$10:$H$309,MATCH(E894,食材マスタ!$C$10:$C$309,0)),""))</f>
        <v/>
      </c>
      <c r="I894" s="15" t="str">
        <f>IF(E894="","",IFERROR(INDEX(食材マスタ!$K$10:$K$309,MATCH(E894,食材マスタ!$C$10:$C$309,0)),""))</f>
        <v/>
      </c>
      <c r="J894" s="15" t="str">
        <f t="shared" si="65"/>
        <v/>
      </c>
      <c r="K894" s="20"/>
      <c r="L894" s="8" t="str">
        <f t="shared" si="66"/>
        <v/>
      </c>
      <c r="M894" s="9"/>
      <c r="N894" s="13" t="str">
        <f t="shared" si="67"/>
        <v/>
      </c>
      <c r="O894" s="22" t="str">
        <f t="shared" ca="1" si="68"/>
        <v/>
      </c>
      <c r="P894" s="17" t="str">
        <f t="shared" si="69"/>
        <v/>
      </c>
      <c r="Q894" s="11"/>
      <c r="R894" s="19"/>
      <c r="S894" s="19"/>
      <c r="U894">
        <f ca="1">IF(AND(ISNUMBER(O894),O894&lt;=設定!$C$4),1,0)</f>
        <v>0</v>
      </c>
      <c r="V894" t="str">
        <f ca="1">IF(U894=1,SUM($U$10:U894),"")</f>
        <v/>
      </c>
    </row>
    <row r="895" spans="2:22">
      <c r="B895" s="8" t="str">
        <f>IF(C895="","",COUNT($C$10:C895))</f>
        <v/>
      </c>
      <c r="C895" s="20"/>
      <c r="D895" s="11"/>
      <c r="E895" s="9"/>
      <c r="F895" s="21" t="str">
        <f>IF(E895="","",IFERROR(INDEX(食材マスタ!$D$10:$D$309,MATCH(E895,食材マスタ!$C$10:$C$309,0)),"※コード未登録"))</f>
        <v/>
      </c>
      <c r="G895" s="16"/>
      <c r="H895" s="8" t="str">
        <f>IF(E895="","",IFERROR(INDEX(食材マスタ!$H$10:$H$309,MATCH(E895,食材マスタ!$C$10:$C$309,0)),""))</f>
        <v/>
      </c>
      <c r="I895" s="15" t="str">
        <f>IF(E895="","",IFERROR(INDEX(食材マスタ!$K$10:$K$309,MATCH(E895,食材マスタ!$C$10:$C$309,0)),""))</f>
        <v/>
      </c>
      <c r="J895" s="15" t="str">
        <f t="shared" si="65"/>
        <v/>
      </c>
      <c r="K895" s="20"/>
      <c r="L895" s="8" t="str">
        <f t="shared" si="66"/>
        <v/>
      </c>
      <c r="M895" s="9"/>
      <c r="N895" s="13" t="str">
        <f t="shared" si="67"/>
        <v/>
      </c>
      <c r="O895" s="22" t="str">
        <f t="shared" ca="1" si="68"/>
        <v/>
      </c>
      <c r="P895" s="17" t="str">
        <f t="shared" si="69"/>
        <v/>
      </c>
      <c r="Q895" s="11"/>
      <c r="R895" s="19"/>
      <c r="S895" s="19"/>
      <c r="U895">
        <f ca="1">IF(AND(ISNUMBER(O895),O895&lt;=設定!$C$4),1,0)</f>
        <v>0</v>
      </c>
      <c r="V895" t="str">
        <f ca="1">IF(U895=1,SUM($U$10:U895),"")</f>
        <v/>
      </c>
    </row>
    <row r="896" spans="2:22">
      <c r="B896" s="8" t="str">
        <f>IF(C896="","",COUNT($C$10:C896))</f>
        <v/>
      </c>
      <c r="C896" s="20"/>
      <c r="D896" s="11"/>
      <c r="E896" s="9"/>
      <c r="F896" s="21" t="str">
        <f>IF(E896="","",IFERROR(INDEX(食材マスタ!$D$10:$D$309,MATCH(E896,食材マスタ!$C$10:$C$309,0)),"※コード未登録"))</f>
        <v/>
      </c>
      <c r="G896" s="16"/>
      <c r="H896" s="8" t="str">
        <f>IF(E896="","",IFERROR(INDEX(食材マスタ!$H$10:$H$309,MATCH(E896,食材マスタ!$C$10:$C$309,0)),""))</f>
        <v/>
      </c>
      <c r="I896" s="15" t="str">
        <f>IF(E896="","",IFERROR(INDEX(食材マスタ!$K$10:$K$309,MATCH(E896,食材マスタ!$C$10:$C$309,0)),""))</f>
        <v/>
      </c>
      <c r="J896" s="15" t="str">
        <f t="shared" si="65"/>
        <v/>
      </c>
      <c r="K896" s="20"/>
      <c r="L896" s="8" t="str">
        <f t="shared" si="66"/>
        <v/>
      </c>
      <c r="M896" s="9"/>
      <c r="N896" s="13" t="str">
        <f t="shared" si="67"/>
        <v/>
      </c>
      <c r="O896" s="22" t="str">
        <f t="shared" ca="1" si="68"/>
        <v/>
      </c>
      <c r="P896" s="17" t="str">
        <f t="shared" si="69"/>
        <v/>
      </c>
      <c r="Q896" s="11"/>
      <c r="R896" s="19"/>
      <c r="S896" s="19"/>
      <c r="U896">
        <f ca="1">IF(AND(ISNUMBER(O896),O896&lt;=設定!$C$4),1,0)</f>
        <v>0</v>
      </c>
      <c r="V896" t="str">
        <f ca="1">IF(U896=1,SUM($U$10:U896),"")</f>
        <v/>
      </c>
    </row>
    <row r="897" spans="2:22">
      <c r="B897" s="8" t="str">
        <f>IF(C897="","",COUNT($C$10:C897))</f>
        <v/>
      </c>
      <c r="C897" s="20"/>
      <c r="D897" s="11"/>
      <c r="E897" s="9"/>
      <c r="F897" s="21" t="str">
        <f>IF(E897="","",IFERROR(INDEX(食材マスタ!$D$10:$D$309,MATCH(E897,食材マスタ!$C$10:$C$309,0)),"※コード未登録"))</f>
        <v/>
      </c>
      <c r="G897" s="16"/>
      <c r="H897" s="8" t="str">
        <f>IF(E897="","",IFERROR(INDEX(食材マスタ!$H$10:$H$309,MATCH(E897,食材マスタ!$C$10:$C$309,0)),""))</f>
        <v/>
      </c>
      <c r="I897" s="15" t="str">
        <f>IF(E897="","",IFERROR(INDEX(食材マスタ!$K$10:$K$309,MATCH(E897,食材マスタ!$C$10:$C$309,0)),""))</f>
        <v/>
      </c>
      <c r="J897" s="15" t="str">
        <f t="shared" si="65"/>
        <v/>
      </c>
      <c r="K897" s="20"/>
      <c r="L897" s="8" t="str">
        <f t="shared" si="66"/>
        <v/>
      </c>
      <c r="M897" s="9"/>
      <c r="N897" s="13" t="str">
        <f t="shared" si="67"/>
        <v/>
      </c>
      <c r="O897" s="22" t="str">
        <f t="shared" ca="1" si="68"/>
        <v/>
      </c>
      <c r="P897" s="17" t="str">
        <f t="shared" si="69"/>
        <v/>
      </c>
      <c r="Q897" s="11"/>
      <c r="R897" s="19"/>
      <c r="S897" s="19"/>
      <c r="U897">
        <f ca="1">IF(AND(ISNUMBER(O897),O897&lt;=設定!$C$4),1,0)</f>
        <v>0</v>
      </c>
      <c r="V897" t="str">
        <f ca="1">IF(U897=1,SUM($U$10:U897),"")</f>
        <v/>
      </c>
    </row>
    <row r="898" spans="2:22">
      <c r="B898" s="8" t="str">
        <f>IF(C898="","",COUNT($C$10:C898))</f>
        <v/>
      </c>
      <c r="C898" s="20"/>
      <c r="D898" s="11"/>
      <c r="E898" s="9"/>
      <c r="F898" s="21" t="str">
        <f>IF(E898="","",IFERROR(INDEX(食材マスタ!$D$10:$D$309,MATCH(E898,食材マスタ!$C$10:$C$309,0)),"※コード未登録"))</f>
        <v/>
      </c>
      <c r="G898" s="16"/>
      <c r="H898" s="8" t="str">
        <f>IF(E898="","",IFERROR(INDEX(食材マスタ!$H$10:$H$309,MATCH(E898,食材マスタ!$C$10:$C$309,0)),""))</f>
        <v/>
      </c>
      <c r="I898" s="15" t="str">
        <f>IF(E898="","",IFERROR(INDEX(食材マスタ!$K$10:$K$309,MATCH(E898,食材マスタ!$C$10:$C$309,0)),""))</f>
        <v/>
      </c>
      <c r="J898" s="15" t="str">
        <f t="shared" si="65"/>
        <v/>
      </c>
      <c r="K898" s="20"/>
      <c r="L898" s="8" t="str">
        <f t="shared" si="66"/>
        <v/>
      </c>
      <c r="M898" s="9"/>
      <c r="N898" s="13" t="str">
        <f t="shared" si="67"/>
        <v/>
      </c>
      <c r="O898" s="22" t="str">
        <f t="shared" ca="1" si="68"/>
        <v/>
      </c>
      <c r="P898" s="17" t="str">
        <f t="shared" si="69"/>
        <v/>
      </c>
      <c r="Q898" s="11"/>
      <c r="R898" s="19"/>
      <c r="S898" s="19"/>
      <c r="U898">
        <f ca="1">IF(AND(ISNUMBER(O898),O898&lt;=設定!$C$4),1,0)</f>
        <v>0</v>
      </c>
      <c r="V898" t="str">
        <f ca="1">IF(U898=1,SUM($U$10:U898),"")</f>
        <v/>
      </c>
    </row>
    <row r="899" spans="2:22">
      <c r="B899" s="8" t="str">
        <f>IF(C899="","",COUNT($C$10:C899))</f>
        <v/>
      </c>
      <c r="C899" s="20"/>
      <c r="D899" s="11"/>
      <c r="E899" s="9"/>
      <c r="F899" s="21" t="str">
        <f>IF(E899="","",IFERROR(INDEX(食材マスタ!$D$10:$D$309,MATCH(E899,食材マスタ!$C$10:$C$309,0)),"※コード未登録"))</f>
        <v/>
      </c>
      <c r="G899" s="16"/>
      <c r="H899" s="8" t="str">
        <f>IF(E899="","",IFERROR(INDEX(食材マスタ!$H$10:$H$309,MATCH(E899,食材マスタ!$C$10:$C$309,0)),""))</f>
        <v/>
      </c>
      <c r="I899" s="15" t="str">
        <f>IF(E899="","",IFERROR(INDEX(食材マスタ!$K$10:$K$309,MATCH(E899,食材マスタ!$C$10:$C$309,0)),""))</f>
        <v/>
      </c>
      <c r="J899" s="15" t="str">
        <f t="shared" si="65"/>
        <v/>
      </c>
      <c r="K899" s="20"/>
      <c r="L899" s="8" t="str">
        <f t="shared" si="66"/>
        <v/>
      </c>
      <c r="M899" s="9"/>
      <c r="N899" s="13" t="str">
        <f t="shared" si="67"/>
        <v/>
      </c>
      <c r="O899" s="22" t="str">
        <f t="shared" ca="1" si="68"/>
        <v/>
      </c>
      <c r="P899" s="17" t="str">
        <f t="shared" si="69"/>
        <v/>
      </c>
      <c r="Q899" s="11"/>
      <c r="R899" s="19"/>
      <c r="S899" s="19"/>
      <c r="U899">
        <f ca="1">IF(AND(ISNUMBER(O899),O899&lt;=設定!$C$4),1,0)</f>
        <v>0</v>
      </c>
      <c r="V899" t="str">
        <f ca="1">IF(U899=1,SUM($U$10:U899),"")</f>
        <v/>
      </c>
    </row>
    <row r="900" spans="2:22">
      <c r="B900" s="8" t="str">
        <f>IF(C900="","",COUNT($C$10:C900))</f>
        <v/>
      </c>
      <c r="C900" s="20"/>
      <c r="D900" s="11"/>
      <c r="E900" s="9"/>
      <c r="F900" s="21" t="str">
        <f>IF(E900="","",IFERROR(INDEX(食材マスタ!$D$10:$D$309,MATCH(E900,食材マスタ!$C$10:$C$309,0)),"※コード未登録"))</f>
        <v/>
      </c>
      <c r="G900" s="16"/>
      <c r="H900" s="8" t="str">
        <f>IF(E900="","",IFERROR(INDEX(食材マスタ!$H$10:$H$309,MATCH(E900,食材マスタ!$C$10:$C$309,0)),""))</f>
        <v/>
      </c>
      <c r="I900" s="15" t="str">
        <f>IF(E900="","",IFERROR(INDEX(食材マスタ!$K$10:$K$309,MATCH(E900,食材マスタ!$C$10:$C$309,0)),""))</f>
        <v/>
      </c>
      <c r="J900" s="15" t="str">
        <f t="shared" si="65"/>
        <v/>
      </c>
      <c r="K900" s="20"/>
      <c r="L900" s="8" t="str">
        <f t="shared" si="66"/>
        <v/>
      </c>
      <c r="M900" s="9"/>
      <c r="N900" s="13" t="str">
        <f t="shared" si="67"/>
        <v/>
      </c>
      <c r="O900" s="22" t="str">
        <f t="shared" ca="1" si="68"/>
        <v/>
      </c>
      <c r="P900" s="17" t="str">
        <f t="shared" si="69"/>
        <v/>
      </c>
      <c r="Q900" s="11"/>
      <c r="R900" s="19"/>
      <c r="S900" s="19"/>
      <c r="U900">
        <f ca="1">IF(AND(ISNUMBER(O900),O900&lt;=設定!$C$4),1,0)</f>
        <v>0</v>
      </c>
      <c r="V900" t="str">
        <f ca="1">IF(U900=1,SUM($U$10:U900),"")</f>
        <v/>
      </c>
    </row>
    <row r="901" spans="2:22">
      <c r="B901" s="8" t="str">
        <f>IF(C901="","",COUNT($C$10:C901))</f>
        <v/>
      </c>
      <c r="C901" s="20"/>
      <c r="D901" s="11"/>
      <c r="E901" s="9"/>
      <c r="F901" s="21" t="str">
        <f>IF(E901="","",IFERROR(INDEX(食材マスタ!$D$10:$D$309,MATCH(E901,食材マスタ!$C$10:$C$309,0)),"※コード未登録"))</f>
        <v/>
      </c>
      <c r="G901" s="16"/>
      <c r="H901" s="8" t="str">
        <f>IF(E901="","",IFERROR(INDEX(食材マスタ!$H$10:$H$309,MATCH(E901,食材マスタ!$C$10:$C$309,0)),""))</f>
        <v/>
      </c>
      <c r="I901" s="15" t="str">
        <f>IF(E901="","",IFERROR(INDEX(食材マスタ!$K$10:$K$309,MATCH(E901,食材マスタ!$C$10:$C$309,0)),""))</f>
        <v/>
      </c>
      <c r="J901" s="15" t="str">
        <f t="shared" si="65"/>
        <v/>
      </c>
      <c r="K901" s="20"/>
      <c r="L901" s="8" t="str">
        <f t="shared" si="66"/>
        <v/>
      </c>
      <c r="M901" s="9"/>
      <c r="N901" s="13" t="str">
        <f t="shared" si="67"/>
        <v/>
      </c>
      <c r="O901" s="22" t="str">
        <f t="shared" ca="1" si="68"/>
        <v/>
      </c>
      <c r="P901" s="17" t="str">
        <f t="shared" si="69"/>
        <v/>
      </c>
      <c r="Q901" s="11"/>
      <c r="R901" s="19"/>
      <c r="S901" s="19"/>
      <c r="U901">
        <f ca="1">IF(AND(ISNUMBER(O901),O901&lt;=設定!$C$4),1,0)</f>
        <v>0</v>
      </c>
      <c r="V901" t="str">
        <f ca="1">IF(U901=1,SUM($U$10:U901),"")</f>
        <v/>
      </c>
    </row>
    <row r="902" spans="2:22">
      <c r="B902" s="8" t="str">
        <f>IF(C902="","",COUNT($C$10:C902))</f>
        <v/>
      </c>
      <c r="C902" s="20"/>
      <c r="D902" s="11"/>
      <c r="E902" s="9"/>
      <c r="F902" s="21" t="str">
        <f>IF(E902="","",IFERROR(INDEX(食材マスタ!$D$10:$D$309,MATCH(E902,食材マスタ!$C$10:$C$309,0)),"※コード未登録"))</f>
        <v/>
      </c>
      <c r="G902" s="16"/>
      <c r="H902" s="8" t="str">
        <f>IF(E902="","",IFERROR(INDEX(食材マスタ!$H$10:$H$309,MATCH(E902,食材マスタ!$C$10:$C$309,0)),""))</f>
        <v/>
      </c>
      <c r="I902" s="15" t="str">
        <f>IF(E902="","",IFERROR(INDEX(食材マスタ!$K$10:$K$309,MATCH(E902,食材マスタ!$C$10:$C$309,0)),""))</f>
        <v/>
      </c>
      <c r="J902" s="15" t="str">
        <f t="shared" si="65"/>
        <v/>
      </c>
      <c r="K902" s="20"/>
      <c r="L902" s="8" t="str">
        <f t="shared" si="66"/>
        <v/>
      </c>
      <c r="M902" s="9"/>
      <c r="N902" s="13" t="str">
        <f t="shared" si="67"/>
        <v/>
      </c>
      <c r="O902" s="22" t="str">
        <f t="shared" ca="1" si="68"/>
        <v/>
      </c>
      <c r="P902" s="17" t="str">
        <f t="shared" si="69"/>
        <v/>
      </c>
      <c r="Q902" s="11"/>
      <c r="R902" s="19"/>
      <c r="S902" s="19"/>
      <c r="U902">
        <f ca="1">IF(AND(ISNUMBER(O902),O902&lt;=設定!$C$4),1,0)</f>
        <v>0</v>
      </c>
      <c r="V902" t="str">
        <f ca="1">IF(U902=1,SUM($U$10:U902),"")</f>
        <v/>
      </c>
    </row>
    <row r="903" spans="2:22">
      <c r="B903" s="8" t="str">
        <f>IF(C903="","",COUNT($C$10:C903))</f>
        <v/>
      </c>
      <c r="C903" s="20"/>
      <c r="D903" s="11"/>
      <c r="E903" s="9"/>
      <c r="F903" s="21" t="str">
        <f>IF(E903="","",IFERROR(INDEX(食材マスタ!$D$10:$D$309,MATCH(E903,食材マスタ!$C$10:$C$309,0)),"※コード未登録"))</f>
        <v/>
      </c>
      <c r="G903" s="16"/>
      <c r="H903" s="8" t="str">
        <f>IF(E903="","",IFERROR(INDEX(食材マスタ!$H$10:$H$309,MATCH(E903,食材マスタ!$C$10:$C$309,0)),""))</f>
        <v/>
      </c>
      <c r="I903" s="15" t="str">
        <f>IF(E903="","",IFERROR(INDEX(食材マスタ!$K$10:$K$309,MATCH(E903,食材マスタ!$C$10:$C$309,0)),""))</f>
        <v/>
      </c>
      <c r="J903" s="15" t="str">
        <f t="shared" si="65"/>
        <v/>
      </c>
      <c r="K903" s="20"/>
      <c r="L903" s="8" t="str">
        <f t="shared" si="66"/>
        <v/>
      </c>
      <c r="M903" s="9"/>
      <c r="N903" s="13" t="str">
        <f t="shared" si="67"/>
        <v/>
      </c>
      <c r="O903" s="22" t="str">
        <f t="shared" ca="1" si="68"/>
        <v/>
      </c>
      <c r="P903" s="17" t="str">
        <f t="shared" si="69"/>
        <v/>
      </c>
      <c r="Q903" s="11"/>
      <c r="R903" s="19"/>
      <c r="S903" s="19"/>
      <c r="U903">
        <f ca="1">IF(AND(ISNUMBER(O903),O903&lt;=設定!$C$4),1,0)</f>
        <v>0</v>
      </c>
      <c r="V903" t="str">
        <f ca="1">IF(U903=1,SUM($U$10:U903),"")</f>
        <v/>
      </c>
    </row>
    <row r="904" spans="2:22">
      <c r="B904" s="8" t="str">
        <f>IF(C904="","",COUNT($C$10:C904))</f>
        <v/>
      </c>
      <c r="C904" s="20"/>
      <c r="D904" s="11"/>
      <c r="E904" s="9"/>
      <c r="F904" s="21" t="str">
        <f>IF(E904="","",IFERROR(INDEX(食材マスタ!$D$10:$D$309,MATCH(E904,食材マスタ!$C$10:$C$309,0)),"※コード未登録"))</f>
        <v/>
      </c>
      <c r="G904" s="16"/>
      <c r="H904" s="8" t="str">
        <f>IF(E904="","",IFERROR(INDEX(食材マスタ!$H$10:$H$309,MATCH(E904,食材マスタ!$C$10:$C$309,0)),""))</f>
        <v/>
      </c>
      <c r="I904" s="15" t="str">
        <f>IF(E904="","",IFERROR(INDEX(食材マスタ!$K$10:$K$309,MATCH(E904,食材マスタ!$C$10:$C$309,0)),""))</f>
        <v/>
      </c>
      <c r="J904" s="15" t="str">
        <f t="shared" si="65"/>
        <v/>
      </c>
      <c r="K904" s="20"/>
      <c r="L904" s="8" t="str">
        <f t="shared" si="66"/>
        <v/>
      </c>
      <c r="M904" s="9"/>
      <c r="N904" s="13" t="str">
        <f t="shared" si="67"/>
        <v/>
      </c>
      <c r="O904" s="22" t="str">
        <f t="shared" ca="1" si="68"/>
        <v/>
      </c>
      <c r="P904" s="17" t="str">
        <f t="shared" si="69"/>
        <v/>
      </c>
      <c r="Q904" s="11"/>
      <c r="R904" s="19"/>
      <c r="S904" s="19"/>
      <c r="U904">
        <f ca="1">IF(AND(ISNUMBER(O904),O904&lt;=設定!$C$4),1,0)</f>
        <v>0</v>
      </c>
      <c r="V904" t="str">
        <f ca="1">IF(U904=1,SUM($U$10:U904),"")</f>
        <v/>
      </c>
    </row>
    <row r="905" spans="2:22">
      <c r="B905" s="8" t="str">
        <f>IF(C905="","",COUNT($C$10:C905))</f>
        <v/>
      </c>
      <c r="C905" s="20"/>
      <c r="D905" s="11"/>
      <c r="E905" s="9"/>
      <c r="F905" s="21" t="str">
        <f>IF(E905="","",IFERROR(INDEX(食材マスタ!$D$10:$D$309,MATCH(E905,食材マスタ!$C$10:$C$309,0)),"※コード未登録"))</f>
        <v/>
      </c>
      <c r="G905" s="16"/>
      <c r="H905" s="8" t="str">
        <f>IF(E905="","",IFERROR(INDEX(食材マスタ!$H$10:$H$309,MATCH(E905,食材マスタ!$C$10:$C$309,0)),""))</f>
        <v/>
      </c>
      <c r="I905" s="15" t="str">
        <f>IF(E905="","",IFERROR(INDEX(食材マスタ!$K$10:$K$309,MATCH(E905,食材マスタ!$C$10:$C$309,0)),""))</f>
        <v/>
      </c>
      <c r="J905" s="15" t="str">
        <f t="shared" si="65"/>
        <v/>
      </c>
      <c r="K905" s="20"/>
      <c r="L905" s="8" t="str">
        <f t="shared" si="66"/>
        <v/>
      </c>
      <c r="M905" s="9"/>
      <c r="N905" s="13" t="str">
        <f t="shared" si="67"/>
        <v/>
      </c>
      <c r="O905" s="22" t="str">
        <f t="shared" ca="1" si="68"/>
        <v/>
      </c>
      <c r="P905" s="17" t="str">
        <f t="shared" si="69"/>
        <v/>
      </c>
      <c r="Q905" s="11"/>
      <c r="R905" s="19"/>
      <c r="S905" s="19"/>
      <c r="U905">
        <f ca="1">IF(AND(ISNUMBER(O905),O905&lt;=設定!$C$4),1,0)</f>
        <v>0</v>
      </c>
      <c r="V905" t="str">
        <f ca="1">IF(U905=1,SUM($U$10:U905),"")</f>
        <v/>
      </c>
    </row>
    <row r="906" spans="2:22">
      <c r="B906" s="8" t="str">
        <f>IF(C906="","",COUNT($C$10:C906))</f>
        <v/>
      </c>
      <c r="C906" s="20"/>
      <c r="D906" s="11"/>
      <c r="E906" s="9"/>
      <c r="F906" s="21" t="str">
        <f>IF(E906="","",IFERROR(INDEX(食材マスタ!$D$10:$D$309,MATCH(E906,食材マスタ!$C$10:$C$309,0)),"※コード未登録"))</f>
        <v/>
      </c>
      <c r="G906" s="16"/>
      <c r="H906" s="8" t="str">
        <f>IF(E906="","",IFERROR(INDEX(食材マスタ!$H$10:$H$309,MATCH(E906,食材マスタ!$C$10:$C$309,0)),""))</f>
        <v/>
      </c>
      <c r="I906" s="15" t="str">
        <f>IF(E906="","",IFERROR(INDEX(食材マスタ!$K$10:$K$309,MATCH(E906,食材マスタ!$C$10:$C$309,0)),""))</f>
        <v/>
      </c>
      <c r="J906" s="15" t="str">
        <f t="shared" ref="J906:J969" si="70">IF(OR(G906="",I906=""),"",ROUND(ABS(G906)*I906,0))</f>
        <v/>
      </c>
      <c r="K906" s="20"/>
      <c r="L906" s="8" t="str">
        <f t="shared" ref="L906:L969" si="71">IF(AND(D906="入庫",E906&lt;&gt;""),E906&amp;"-"&amp;TEXT(ROW()-9,"0000"),"")</f>
        <v/>
      </c>
      <c r="M906" s="9"/>
      <c r="N906" s="13" t="str">
        <f t="shared" ref="N906:N969" si="72">IF(L906="","",G906-SUMIFS($G$10:$G$1009,$M$10:$M$1009,L906,$D$10:$D$1009,"出庫")-SUMIFS($G$10:$G$1009,$M$10:$M$1009,L906,$D$10:$D$1009,"廃棄")+SUMIFS($G$10:$G$1009,$M$10:$M$1009,L906,$D$10:$D$1009,"棚卸調整"))</f>
        <v/>
      </c>
      <c r="O906" s="22" t="str">
        <f t="shared" ref="O906:O969" ca="1" si="73">IF(OR(L906="",K906=""),"",IF(N906&lt;=0,"",K906-TODAY()))</f>
        <v/>
      </c>
      <c r="P906" s="17" t="str">
        <f t="shared" ref="P906:P969" si="74">IF(E906="","",IF(F906="※コード未登録","コード未登録",IF(AND(OR(D906="出庫",D906="廃棄"),M906=""),"ロット未指定",IF(AND(M906&lt;&gt;"",LEFT(M906,LEN(E906)+1)&lt;&gt;E906&amp;"-"),"ロット違い",IF(AND(L906&lt;&gt;"",N906&lt;0),"ロット残マイナス","")))))</f>
        <v/>
      </c>
      <c r="Q906" s="11"/>
      <c r="R906" s="19"/>
      <c r="S906" s="19"/>
      <c r="U906">
        <f ca="1">IF(AND(ISNUMBER(O906),O906&lt;=設定!$C$4),1,0)</f>
        <v>0</v>
      </c>
      <c r="V906" t="str">
        <f ca="1">IF(U906=1,SUM($U$10:U906),"")</f>
        <v/>
      </c>
    </row>
    <row r="907" spans="2:22">
      <c r="B907" s="8" t="str">
        <f>IF(C907="","",COUNT($C$10:C907))</f>
        <v/>
      </c>
      <c r="C907" s="20"/>
      <c r="D907" s="11"/>
      <c r="E907" s="9"/>
      <c r="F907" s="21" t="str">
        <f>IF(E907="","",IFERROR(INDEX(食材マスタ!$D$10:$D$309,MATCH(E907,食材マスタ!$C$10:$C$309,0)),"※コード未登録"))</f>
        <v/>
      </c>
      <c r="G907" s="16"/>
      <c r="H907" s="8" t="str">
        <f>IF(E907="","",IFERROR(INDEX(食材マスタ!$H$10:$H$309,MATCH(E907,食材マスタ!$C$10:$C$309,0)),""))</f>
        <v/>
      </c>
      <c r="I907" s="15" t="str">
        <f>IF(E907="","",IFERROR(INDEX(食材マスタ!$K$10:$K$309,MATCH(E907,食材マスタ!$C$10:$C$309,0)),""))</f>
        <v/>
      </c>
      <c r="J907" s="15" t="str">
        <f t="shared" si="70"/>
        <v/>
      </c>
      <c r="K907" s="20"/>
      <c r="L907" s="8" t="str">
        <f t="shared" si="71"/>
        <v/>
      </c>
      <c r="M907" s="9"/>
      <c r="N907" s="13" t="str">
        <f t="shared" si="72"/>
        <v/>
      </c>
      <c r="O907" s="22" t="str">
        <f t="shared" ca="1" si="73"/>
        <v/>
      </c>
      <c r="P907" s="17" t="str">
        <f t="shared" si="74"/>
        <v/>
      </c>
      <c r="Q907" s="11"/>
      <c r="R907" s="19"/>
      <c r="S907" s="19"/>
      <c r="U907">
        <f ca="1">IF(AND(ISNUMBER(O907),O907&lt;=設定!$C$4),1,0)</f>
        <v>0</v>
      </c>
      <c r="V907" t="str">
        <f ca="1">IF(U907=1,SUM($U$10:U907),"")</f>
        <v/>
      </c>
    </row>
    <row r="908" spans="2:22">
      <c r="B908" s="8" t="str">
        <f>IF(C908="","",COUNT($C$10:C908))</f>
        <v/>
      </c>
      <c r="C908" s="20"/>
      <c r="D908" s="11"/>
      <c r="E908" s="9"/>
      <c r="F908" s="21" t="str">
        <f>IF(E908="","",IFERROR(INDEX(食材マスタ!$D$10:$D$309,MATCH(E908,食材マスタ!$C$10:$C$309,0)),"※コード未登録"))</f>
        <v/>
      </c>
      <c r="G908" s="16"/>
      <c r="H908" s="8" t="str">
        <f>IF(E908="","",IFERROR(INDEX(食材マスタ!$H$10:$H$309,MATCH(E908,食材マスタ!$C$10:$C$309,0)),""))</f>
        <v/>
      </c>
      <c r="I908" s="15" t="str">
        <f>IF(E908="","",IFERROR(INDEX(食材マスタ!$K$10:$K$309,MATCH(E908,食材マスタ!$C$10:$C$309,0)),""))</f>
        <v/>
      </c>
      <c r="J908" s="15" t="str">
        <f t="shared" si="70"/>
        <v/>
      </c>
      <c r="K908" s="20"/>
      <c r="L908" s="8" t="str">
        <f t="shared" si="71"/>
        <v/>
      </c>
      <c r="M908" s="9"/>
      <c r="N908" s="13" t="str">
        <f t="shared" si="72"/>
        <v/>
      </c>
      <c r="O908" s="22" t="str">
        <f t="shared" ca="1" si="73"/>
        <v/>
      </c>
      <c r="P908" s="17" t="str">
        <f t="shared" si="74"/>
        <v/>
      </c>
      <c r="Q908" s="11"/>
      <c r="R908" s="19"/>
      <c r="S908" s="19"/>
      <c r="U908">
        <f ca="1">IF(AND(ISNUMBER(O908),O908&lt;=設定!$C$4),1,0)</f>
        <v>0</v>
      </c>
      <c r="V908" t="str">
        <f ca="1">IF(U908=1,SUM($U$10:U908),"")</f>
        <v/>
      </c>
    </row>
    <row r="909" spans="2:22">
      <c r="B909" s="8" t="str">
        <f>IF(C909="","",COUNT($C$10:C909))</f>
        <v/>
      </c>
      <c r="C909" s="20"/>
      <c r="D909" s="11"/>
      <c r="E909" s="9"/>
      <c r="F909" s="21" t="str">
        <f>IF(E909="","",IFERROR(INDEX(食材マスタ!$D$10:$D$309,MATCH(E909,食材マスタ!$C$10:$C$309,0)),"※コード未登録"))</f>
        <v/>
      </c>
      <c r="G909" s="16"/>
      <c r="H909" s="8" t="str">
        <f>IF(E909="","",IFERROR(INDEX(食材マスタ!$H$10:$H$309,MATCH(E909,食材マスタ!$C$10:$C$309,0)),""))</f>
        <v/>
      </c>
      <c r="I909" s="15" t="str">
        <f>IF(E909="","",IFERROR(INDEX(食材マスタ!$K$10:$K$309,MATCH(E909,食材マスタ!$C$10:$C$309,0)),""))</f>
        <v/>
      </c>
      <c r="J909" s="15" t="str">
        <f t="shared" si="70"/>
        <v/>
      </c>
      <c r="K909" s="20"/>
      <c r="L909" s="8" t="str">
        <f t="shared" si="71"/>
        <v/>
      </c>
      <c r="M909" s="9"/>
      <c r="N909" s="13" t="str">
        <f t="shared" si="72"/>
        <v/>
      </c>
      <c r="O909" s="22" t="str">
        <f t="shared" ca="1" si="73"/>
        <v/>
      </c>
      <c r="P909" s="17" t="str">
        <f t="shared" si="74"/>
        <v/>
      </c>
      <c r="Q909" s="11"/>
      <c r="R909" s="19"/>
      <c r="S909" s="19"/>
      <c r="U909">
        <f ca="1">IF(AND(ISNUMBER(O909),O909&lt;=設定!$C$4),1,0)</f>
        <v>0</v>
      </c>
      <c r="V909" t="str">
        <f ca="1">IF(U909=1,SUM($U$10:U909),"")</f>
        <v/>
      </c>
    </row>
    <row r="910" spans="2:22">
      <c r="B910" s="8" t="str">
        <f>IF(C910="","",COUNT($C$10:C910))</f>
        <v/>
      </c>
      <c r="C910" s="20"/>
      <c r="D910" s="11"/>
      <c r="E910" s="9"/>
      <c r="F910" s="21" t="str">
        <f>IF(E910="","",IFERROR(INDEX(食材マスタ!$D$10:$D$309,MATCH(E910,食材マスタ!$C$10:$C$309,0)),"※コード未登録"))</f>
        <v/>
      </c>
      <c r="G910" s="16"/>
      <c r="H910" s="8" t="str">
        <f>IF(E910="","",IFERROR(INDEX(食材マスタ!$H$10:$H$309,MATCH(E910,食材マスタ!$C$10:$C$309,0)),""))</f>
        <v/>
      </c>
      <c r="I910" s="15" t="str">
        <f>IF(E910="","",IFERROR(INDEX(食材マスタ!$K$10:$K$309,MATCH(E910,食材マスタ!$C$10:$C$309,0)),""))</f>
        <v/>
      </c>
      <c r="J910" s="15" t="str">
        <f t="shared" si="70"/>
        <v/>
      </c>
      <c r="K910" s="20"/>
      <c r="L910" s="8" t="str">
        <f t="shared" si="71"/>
        <v/>
      </c>
      <c r="M910" s="9"/>
      <c r="N910" s="13" t="str">
        <f t="shared" si="72"/>
        <v/>
      </c>
      <c r="O910" s="22" t="str">
        <f t="shared" ca="1" si="73"/>
        <v/>
      </c>
      <c r="P910" s="17" t="str">
        <f t="shared" si="74"/>
        <v/>
      </c>
      <c r="Q910" s="11"/>
      <c r="R910" s="19"/>
      <c r="S910" s="19"/>
      <c r="U910">
        <f ca="1">IF(AND(ISNUMBER(O910),O910&lt;=設定!$C$4),1,0)</f>
        <v>0</v>
      </c>
      <c r="V910" t="str">
        <f ca="1">IF(U910=1,SUM($U$10:U910),"")</f>
        <v/>
      </c>
    </row>
    <row r="911" spans="2:22">
      <c r="B911" s="8" t="str">
        <f>IF(C911="","",COUNT($C$10:C911))</f>
        <v/>
      </c>
      <c r="C911" s="20"/>
      <c r="D911" s="11"/>
      <c r="E911" s="9"/>
      <c r="F911" s="21" t="str">
        <f>IF(E911="","",IFERROR(INDEX(食材マスタ!$D$10:$D$309,MATCH(E911,食材マスタ!$C$10:$C$309,0)),"※コード未登録"))</f>
        <v/>
      </c>
      <c r="G911" s="16"/>
      <c r="H911" s="8" t="str">
        <f>IF(E911="","",IFERROR(INDEX(食材マスタ!$H$10:$H$309,MATCH(E911,食材マスタ!$C$10:$C$309,0)),""))</f>
        <v/>
      </c>
      <c r="I911" s="15" t="str">
        <f>IF(E911="","",IFERROR(INDEX(食材マスタ!$K$10:$K$309,MATCH(E911,食材マスタ!$C$10:$C$309,0)),""))</f>
        <v/>
      </c>
      <c r="J911" s="15" t="str">
        <f t="shared" si="70"/>
        <v/>
      </c>
      <c r="K911" s="20"/>
      <c r="L911" s="8" t="str">
        <f t="shared" si="71"/>
        <v/>
      </c>
      <c r="M911" s="9"/>
      <c r="N911" s="13" t="str">
        <f t="shared" si="72"/>
        <v/>
      </c>
      <c r="O911" s="22" t="str">
        <f t="shared" ca="1" si="73"/>
        <v/>
      </c>
      <c r="P911" s="17" t="str">
        <f t="shared" si="74"/>
        <v/>
      </c>
      <c r="Q911" s="11"/>
      <c r="R911" s="19"/>
      <c r="S911" s="19"/>
      <c r="U911">
        <f ca="1">IF(AND(ISNUMBER(O911),O911&lt;=設定!$C$4),1,0)</f>
        <v>0</v>
      </c>
      <c r="V911" t="str">
        <f ca="1">IF(U911=1,SUM($U$10:U911),"")</f>
        <v/>
      </c>
    </row>
    <row r="912" spans="2:22">
      <c r="B912" s="8" t="str">
        <f>IF(C912="","",COUNT($C$10:C912))</f>
        <v/>
      </c>
      <c r="C912" s="20"/>
      <c r="D912" s="11"/>
      <c r="E912" s="9"/>
      <c r="F912" s="21" t="str">
        <f>IF(E912="","",IFERROR(INDEX(食材マスタ!$D$10:$D$309,MATCH(E912,食材マスタ!$C$10:$C$309,0)),"※コード未登録"))</f>
        <v/>
      </c>
      <c r="G912" s="16"/>
      <c r="H912" s="8" t="str">
        <f>IF(E912="","",IFERROR(INDEX(食材マスタ!$H$10:$H$309,MATCH(E912,食材マスタ!$C$10:$C$309,0)),""))</f>
        <v/>
      </c>
      <c r="I912" s="15" t="str">
        <f>IF(E912="","",IFERROR(INDEX(食材マスタ!$K$10:$K$309,MATCH(E912,食材マスタ!$C$10:$C$309,0)),""))</f>
        <v/>
      </c>
      <c r="J912" s="15" t="str">
        <f t="shared" si="70"/>
        <v/>
      </c>
      <c r="K912" s="20"/>
      <c r="L912" s="8" t="str">
        <f t="shared" si="71"/>
        <v/>
      </c>
      <c r="M912" s="9"/>
      <c r="N912" s="13" t="str">
        <f t="shared" si="72"/>
        <v/>
      </c>
      <c r="O912" s="22" t="str">
        <f t="shared" ca="1" si="73"/>
        <v/>
      </c>
      <c r="P912" s="17" t="str">
        <f t="shared" si="74"/>
        <v/>
      </c>
      <c r="Q912" s="11"/>
      <c r="R912" s="19"/>
      <c r="S912" s="19"/>
      <c r="U912">
        <f ca="1">IF(AND(ISNUMBER(O912),O912&lt;=設定!$C$4),1,0)</f>
        <v>0</v>
      </c>
      <c r="V912" t="str">
        <f ca="1">IF(U912=1,SUM($U$10:U912),"")</f>
        <v/>
      </c>
    </row>
    <row r="913" spans="2:22">
      <c r="B913" s="8" t="str">
        <f>IF(C913="","",COUNT($C$10:C913))</f>
        <v/>
      </c>
      <c r="C913" s="20"/>
      <c r="D913" s="11"/>
      <c r="E913" s="9"/>
      <c r="F913" s="21" t="str">
        <f>IF(E913="","",IFERROR(INDEX(食材マスタ!$D$10:$D$309,MATCH(E913,食材マスタ!$C$10:$C$309,0)),"※コード未登録"))</f>
        <v/>
      </c>
      <c r="G913" s="16"/>
      <c r="H913" s="8" t="str">
        <f>IF(E913="","",IFERROR(INDEX(食材マスタ!$H$10:$H$309,MATCH(E913,食材マスタ!$C$10:$C$309,0)),""))</f>
        <v/>
      </c>
      <c r="I913" s="15" t="str">
        <f>IF(E913="","",IFERROR(INDEX(食材マスタ!$K$10:$K$309,MATCH(E913,食材マスタ!$C$10:$C$309,0)),""))</f>
        <v/>
      </c>
      <c r="J913" s="15" t="str">
        <f t="shared" si="70"/>
        <v/>
      </c>
      <c r="K913" s="20"/>
      <c r="L913" s="8" t="str">
        <f t="shared" si="71"/>
        <v/>
      </c>
      <c r="M913" s="9"/>
      <c r="N913" s="13" t="str">
        <f t="shared" si="72"/>
        <v/>
      </c>
      <c r="O913" s="22" t="str">
        <f t="shared" ca="1" si="73"/>
        <v/>
      </c>
      <c r="P913" s="17" t="str">
        <f t="shared" si="74"/>
        <v/>
      </c>
      <c r="Q913" s="11"/>
      <c r="R913" s="19"/>
      <c r="S913" s="19"/>
      <c r="U913">
        <f ca="1">IF(AND(ISNUMBER(O913),O913&lt;=設定!$C$4),1,0)</f>
        <v>0</v>
      </c>
      <c r="V913" t="str">
        <f ca="1">IF(U913=1,SUM($U$10:U913),"")</f>
        <v/>
      </c>
    </row>
    <row r="914" spans="2:22">
      <c r="B914" s="8" t="str">
        <f>IF(C914="","",COUNT($C$10:C914))</f>
        <v/>
      </c>
      <c r="C914" s="20"/>
      <c r="D914" s="11"/>
      <c r="E914" s="9"/>
      <c r="F914" s="21" t="str">
        <f>IF(E914="","",IFERROR(INDEX(食材マスタ!$D$10:$D$309,MATCH(E914,食材マスタ!$C$10:$C$309,0)),"※コード未登録"))</f>
        <v/>
      </c>
      <c r="G914" s="16"/>
      <c r="H914" s="8" t="str">
        <f>IF(E914="","",IFERROR(INDEX(食材マスタ!$H$10:$H$309,MATCH(E914,食材マスタ!$C$10:$C$309,0)),""))</f>
        <v/>
      </c>
      <c r="I914" s="15" t="str">
        <f>IF(E914="","",IFERROR(INDEX(食材マスタ!$K$10:$K$309,MATCH(E914,食材マスタ!$C$10:$C$309,0)),""))</f>
        <v/>
      </c>
      <c r="J914" s="15" t="str">
        <f t="shared" si="70"/>
        <v/>
      </c>
      <c r="K914" s="20"/>
      <c r="L914" s="8" t="str">
        <f t="shared" si="71"/>
        <v/>
      </c>
      <c r="M914" s="9"/>
      <c r="N914" s="13" t="str">
        <f t="shared" si="72"/>
        <v/>
      </c>
      <c r="O914" s="22" t="str">
        <f t="shared" ca="1" si="73"/>
        <v/>
      </c>
      <c r="P914" s="17" t="str">
        <f t="shared" si="74"/>
        <v/>
      </c>
      <c r="Q914" s="11"/>
      <c r="R914" s="19"/>
      <c r="S914" s="19"/>
      <c r="U914">
        <f ca="1">IF(AND(ISNUMBER(O914),O914&lt;=設定!$C$4),1,0)</f>
        <v>0</v>
      </c>
      <c r="V914" t="str">
        <f ca="1">IF(U914=1,SUM($U$10:U914),"")</f>
        <v/>
      </c>
    </row>
    <row r="915" spans="2:22">
      <c r="B915" s="8" t="str">
        <f>IF(C915="","",COUNT($C$10:C915))</f>
        <v/>
      </c>
      <c r="C915" s="20"/>
      <c r="D915" s="11"/>
      <c r="E915" s="9"/>
      <c r="F915" s="21" t="str">
        <f>IF(E915="","",IFERROR(INDEX(食材マスタ!$D$10:$D$309,MATCH(E915,食材マスタ!$C$10:$C$309,0)),"※コード未登録"))</f>
        <v/>
      </c>
      <c r="G915" s="16"/>
      <c r="H915" s="8" t="str">
        <f>IF(E915="","",IFERROR(INDEX(食材マスタ!$H$10:$H$309,MATCH(E915,食材マスタ!$C$10:$C$309,0)),""))</f>
        <v/>
      </c>
      <c r="I915" s="15" t="str">
        <f>IF(E915="","",IFERROR(INDEX(食材マスタ!$K$10:$K$309,MATCH(E915,食材マスタ!$C$10:$C$309,0)),""))</f>
        <v/>
      </c>
      <c r="J915" s="15" t="str">
        <f t="shared" si="70"/>
        <v/>
      </c>
      <c r="K915" s="20"/>
      <c r="L915" s="8" t="str">
        <f t="shared" si="71"/>
        <v/>
      </c>
      <c r="M915" s="9"/>
      <c r="N915" s="13" t="str">
        <f t="shared" si="72"/>
        <v/>
      </c>
      <c r="O915" s="22" t="str">
        <f t="shared" ca="1" si="73"/>
        <v/>
      </c>
      <c r="P915" s="17" t="str">
        <f t="shared" si="74"/>
        <v/>
      </c>
      <c r="Q915" s="11"/>
      <c r="R915" s="19"/>
      <c r="S915" s="19"/>
      <c r="U915">
        <f ca="1">IF(AND(ISNUMBER(O915),O915&lt;=設定!$C$4),1,0)</f>
        <v>0</v>
      </c>
      <c r="V915" t="str">
        <f ca="1">IF(U915=1,SUM($U$10:U915),"")</f>
        <v/>
      </c>
    </row>
    <row r="916" spans="2:22">
      <c r="B916" s="8" t="str">
        <f>IF(C916="","",COUNT($C$10:C916))</f>
        <v/>
      </c>
      <c r="C916" s="20"/>
      <c r="D916" s="11"/>
      <c r="E916" s="9"/>
      <c r="F916" s="21" t="str">
        <f>IF(E916="","",IFERROR(INDEX(食材マスタ!$D$10:$D$309,MATCH(E916,食材マスタ!$C$10:$C$309,0)),"※コード未登録"))</f>
        <v/>
      </c>
      <c r="G916" s="16"/>
      <c r="H916" s="8" t="str">
        <f>IF(E916="","",IFERROR(INDEX(食材マスタ!$H$10:$H$309,MATCH(E916,食材マスタ!$C$10:$C$309,0)),""))</f>
        <v/>
      </c>
      <c r="I916" s="15" t="str">
        <f>IF(E916="","",IFERROR(INDEX(食材マスタ!$K$10:$K$309,MATCH(E916,食材マスタ!$C$10:$C$309,0)),""))</f>
        <v/>
      </c>
      <c r="J916" s="15" t="str">
        <f t="shared" si="70"/>
        <v/>
      </c>
      <c r="K916" s="20"/>
      <c r="L916" s="8" t="str">
        <f t="shared" si="71"/>
        <v/>
      </c>
      <c r="M916" s="9"/>
      <c r="N916" s="13" t="str">
        <f t="shared" si="72"/>
        <v/>
      </c>
      <c r="O916" s="22" t="str">
        <f t="shared" ca="1" si="73"/>
        <v/>
      </c>
      <c r="P916" s="17" t="str">
        <f t="shared" si="74"/>
        <v/>
      </c>
      <c r="Q916" s="11"/>
      <c r="R916" s="19"/>
      <c r="S916" s="19"/>
      <c r="U916">
        <f ca="1">IF(AND(ISNUMBER(O916),O916&lt;=設定!$C$4),1,0)</f>
        <v>0</v>
      </c>
      <c r="V916" t="str">
        <f ca="1">IF(U916=1,SUM($U$10:U916),"")</f>
        <v/>
      </c>
    </row>
    <row r="917" spans="2:22">
      <c r="B917" s="8" t="str">
        <f>IF(C917="","",COUNT($C$10:C917))</f>
        <v/>
      </c>
      <c r="C917" s="20"/>
      <c r="D917" s="11"/>
      <c r="E917" s="9"/>
      <c r="F917" s="21" t="str">
        <f>IF(E917="","",IFERROR(INDEX(食材マスタ!$D$10:$D$309,MATCH(E917,食材マスタ!$C$10:$C$309,0)),"※コード未登録"))</f>
        <v/>
      </c>
      <c r="G917" s="16"/>
      <c r="H917" s="8" t="str">
        <f>IF(E917="","",IFERROR(INDEX(食材マスタ!$H$10:$H$309,MATCH(E917,食材マスタ!$C$10:$C$309,0)),""))</f>
        <v/>
      </c>
      <c r="I917" s="15" t="str">
        <f>IF(E917="","",IFERROR(INDEX(食材マスタ!$K$10:$K$309,MATCH(E917,食材マスタ!$C$10:$C$309,0)),""))</f>
        <v/>
      </c>
      <c r="J917" s="15" t="str">
        <f t="shared" si="70"/>
        <v/>
      </c>
      <c r="K917" s="20"/>
      <c r="L917" s="8" t="str">
        <f t="shared" si="71"/>
        <v/>
      </c>
      <c r="M917" s="9"/>
      <c r="N917" s="13" t="str">
        <f t="shared" si="72"/>
        <v/>
      </c>
      <c r="O917" s="22" t="str">
        <f t="shared" ca="1" si="73"/>
        <v/>
      </c>
      <c r="P917" s="17" t="str">
        <f t="shared" si="74"/>
        <v/>
      </c>
      <c r="Q917" s="11"/>
      <c r="R917" s="19"/>
      <c r="S917" s="19"/>
      <c r="U917">
        <f ca="1">IF(AND(ISNUMBER(O917),O917&lt;=設定!$C$4),1,0)</f>
        <v>0</v>
      </c>
      <c r="V917" t="str">
        <f ca="1">IF(U917=1,SUM($U$10:U917),"")</f>
        <v/>
      </c>
    </row>
    <row r="918" spans="2:22">
      <c r="B918" s="8" t="str">
        <f>IF(C918="","",COUNT($C$10:C918))</f>
        <v/>
      </c>
      <c r="C918" s="20"/>
      <c r="D918" s="11"/>
      <c r="E918" s="9"/>
      <c r="F918" s="21" t="str">
        <f>IF(E918="","",IFERROR(INDEX(食材マスタ!$D$10:$D$309,MATCH(E918,食材マスタ!$C$10:$C$309,0)),"※コード未登録"))</f>
        <v/>
      </c>
      <c r="G918" s="16"/>
      <c r="H918" s="8" t="str">
        <f>IF(E918="","",IFERROR(INDEX(食材マスタ!$H$10:$H$309,MATCH(E918,食材マスタ!$C$10:$C$309,0)),""))</f>
        <v/>
      </c>
      <c r="I918" s="15" t="str">
        <f>IF(E918="","",IFERROR(INDEX(食材マスタ!$K$10:$K$309,MATCH(E918,食材マスタ!$C$10:$C$309,0)),""))</f>
        <v/>
      </c>
      <c r="J918" s="15" t="str">
        <f t="shared" si="70"/>
        <v/>
      </c>
      <c r="K918" s="20"/>
      <c r="L918" s="8" t="str">
        <f t="shared" si="71"/>
        <v/>
      </c>
      <c r="M918" s="9"/>
      <c r="N918" s="13" t="str">
        <f t="shared" si="72"/>
        <v/>
      </c>
      <c r="O918" s="22" t="str">
        <f t="shared" ca="1" si="73"/>
        <v/>
      </c>
      <c r="P918" s="17" t="str">
        <f t="shared" si="74"/>
        <v/>
      </c>
      <c r="Q918" s="11"/>
      <c r="R918" s="19"/>
      <c r="S918" s="19"/>
      <c r="U918">
        <f ca="1">IF(AND(ISNUMBER(O918),O918&lt;=設定!$C$4),1,0)</f>
        <v>0</v>
      </c>
      <c r="V918" t="str">
        <f ca="1">IF(U918=1,SUM($U$10:U918),"")</f>
        <v/>
      </c>
    </row>
    <row r="919" spans="2:22">
      <c r="B919" s="8" t="str">
        <f>IF(C919="","",COUNT($C$10:C919))</f>
        <v/>
      </c>
      <c r="C919" s="20"/>
      <c r="D919" s="11"/>
      <c r="E919" s="9"/>
      <c r="F919" s="21" t="str">
        <f>IF(E919="","",IFERROR(INDEX(食材マスタ!$D$10:$D$309,MATCH(E919,食材マスタ!$C$10:$C$309,0)),"※コード未登録"))</f>
        <v/>
      </c>
      <c r="G919" s="16"/>
      <c r="H919" s="8" t="str">
        <f>IF(E919="","",IFERROR(INDEX(食材マスタ!$H$10:$H$309,MATCH(E919,食材マスタ!$C$10:$C$309,0)),""))</f>
        <v/>
      </c>
      <c r="I919" s="15" t="str">
        <f>IF(E919="","",IFERROR(INDEX(食材マスタ!$K$10:$K$309,MATCH(E919,食材マスタ!$C$10:$C$309,0)),""))</f>
        <v/>
      </c>
      <c r="J919" s="15" t="str">
        <f t="shared" si="70"/>
        <v/>
      </c>
      <c r="K919" s="20"/>
      <c r="L919" s="8" t="str">
        <f t="shared" si="71"/>
        <v/>
      </c>
      <c r="M919" s="9"/>
      <c r="N919" s="13" t="str">
        <f t="shared" si="72"/>
        <v/>
      </c>
      <c r="O919" s="22" t="str">
        <f t="shared" ca="1" si="73"/>
        <v/>
      </c>
      <c r="P919" s="17" t="str">
        <f t="shared" si="74"/>
        <v/>
      </c>
      <c r="Q919" s="11"/>
      <c r="R919" s="19"/>
      <c r="S919" s="19"/>
      <c r="U919">
        <f ca="1">IF(AND(ISNUMBER(O919),O919&lt;=設定!$C$4),1,0)</f>
        <v>0</v>
      </c>
      <c r="V919" t="str">
        <f ca="1">IF(U919=1,SUM($U$10:U919),"")</f>
        <v/>
      </c>
    </row>
    <row r="920" spans="2:22">
      <c r="B920" s="8" t="str">
        <f>IF(C920="","",COUNT($C$10:C920))</f>
        <v/>
      </c>
      <c r="C920" s="20"/>
      <c r="D920" s="11"/>
      <c r="E920" s="9"/>
      <c r="F920" s="21" t="str">
        <f>IF(E920="","",IFERROR(INDEX(食材マスタ!$D$10:$D$309,MATCH(E920,食材マスタ!$C$10:$C$309,0)),"※コード未登録"))</f>
        <v/>
      </c>
      <c r="G920" s="16"/>
      <c r="H920" s="8" t="str">
        <f>IF(E920="","",IFERROR(INDEX(食材マスタ!$H$10:$H$309,MATCH(E920,食材マスタ!$C$10:$C$309,0)),""))</f>
        <v/>
      </c>
      <c r="I920" s="15" t="str">
        <f>IF(E920="","",IFERROR(INDEX(食材マスタ!$K$10:$K$309,MATCH(E920,食材マスタ!$C$10:$C$309,0)),""))</f>
        <v/>
      </c>
      <c r="J920" s="15" t="str">
        <f t="shared" si="70"/>
        <v/>
      </c>
      <c r="K920" s="20"/>
      <c r="L920" s="8" t="str">
        <f t="shared" si="71"/>
        <v/>
      </c>
      <c r="M920" s="9"/>
      <c r="N920" s="13" t="str">
        <f t="shared" si="72"/>
        <v/>
      </c>
      <c r="O920" s="22" t="str">
        <f t="shared" ca="1" si="73"/>
        <v/>
      </c>
      <c r="P920" s="17" t="str">
        <f t="shared" si="74"/>
        <v/>
      </c>
      <c r="Q920" s="11"/>
      <c r="R920" s="19"/>
      <c r="S920" s="19"/>
      <c r="U920">
        <f ca="1">IF(AND(ISNUMBER(O920),O920&lt;=設定!$C$4),1,0)</f>
        <v>0</v>
      </c>
      <c r="V920" t="str">
        <f ca="1">IF(U920=1,SUM($U$10:U920),"")</f>
        <v/>
      </c>
    </row>
    <row r="921" spans="2:22">
      <c r="B921" s="8" t="str">
        <f>IF(C921="","",COUNT($C$10:C921))</f>
        <v/>
      </c>
      <c r="C921" s="20"/>
      <c r="D921" s="11"/>
      <c r="E921" s="9"/>
      <c r="F921" s="21" t="str">
        <f>IF(E921="","",IFERROR(INDEX(食材マスタ!$D$10:$D$309,MATCH(E921,食材マスタ!$C$10:$C$309,0)),"※コード未登録"))</f>
        <v/>
      </c>
      <c r="G921" s="16"/>
      <c r="H921" s="8" t="str">
        <f>IF(E921="","",IFERROR(INDEX(食材マスタ!$H$10:$H$309,MATCH(E921,食材マスタ!$C$10:$C$309,0)),""))</f>
        <v/>
      </c>
      <c r="I921" s="15" t="str">
        <f>IF(E921="","",IFERROR(INDEX(食材マスタ!$K$10:$K$309,MATCH(E921,食材マスタ!$C$10:$C$309,0)),""))</f>
        <v/>
      </c>
      <c r="J921" s="15" t="str">
        <f t="shared" si="70"/>
        <v/>
      </c>
      <c r="K921" s="20"/>
      <c r="L921" s="8" t="str">
        <f t="shared" si="71"/>
        <v/>
      </c>
      <c r="M921" s="9"/>
      <c r="N921" s="13" t="str">
        <f t="shared" si="72"/>
        <v/>
      </c>
      <c r="O921" s="22" t="str">
        <f t="shared" ca="1" si="73"/>
        <v/>
      </c>
      <c r="P921" s="17" t="str">
        <f t="shared" si="74"/>
        <v/>
      </c>
      <c r="Q921" s="11"/>
      <c r="R921" s="19"/>
      <c r="S921" s="19"/>
      <c r="U921">
        <f ca="1">IF(AND(ISNUMBER(O921),O921&lt;=設定!$C$4),1,0)</f>
        <v>0</v>
      </c>
      <c r="V921" t="str">
        <f ca="1">IF(U921=1,SUM($U$10:U921),"")</f>
        <v/>
      </c>
    </row>
    <row r="922" spans="2:22">
      <c r="B922" s="8" t="str">
        <f>IF(C922="","",COUNT($C$10:C922))</f>
        <v/>
      </c>
      <c r="C922" s="20"/>
      <c r="D922" s="11"/>
      <c r="E922" s="9"/>
      <c r="F922" s="21" t="str">
        <f>IF(E922="","",IFERROR(INDEX(食材マスタ!$D$10:$D$309,MATCH(E922,食材マスタ!$C$10:$C$309,0)),"※コード未登録"))</f>
        <v/>
      </c>
      <c r="G922" s="16"/>
      <c r="H922" s="8" t="str">
        <f>IF(E922="","",IFERROR(INDEX(食材マスタ!$H$10:$H$309,MATCH(E922,食材マスタ!$C$10:$C$309,0)),""))</f>
        <v/>
      </c>
      <c r="I922" s="15" t="str">
        <f>IF(E922="","",IFERROR(INDEX(食材マスタ!$K$10:$K$309,MATCH(E922,食材マスタ!$C$10:$C$309,0)),""))</f>
        <v/>
      </c>
      <c r="J922" s="15" t="str">
        <f t="shared" si="70"/>
        <v/>
      </c>
      <c r="K922" s="20"/>
      <c r="L922" s="8" t="str">
        <f t="shared" si="71"/>
        <v/>
      </c>
      <c r="M922" s="9"/>
      <c r="N922" s="13" t="str">
        <f t="shared" si="72"/>
        <v/>
      </c>
      <c r="O922" s="22" t="str">
        <f t="shared" ca="1" si="73"/>
        <v/>
      </c>
      <c r="P922" s="17" t="str">
        <f t="shared" si="74"/>
        <v/>
      </c>
      <c r="Q922" s="11"/>
      <c r="R922" s="19"/>
      <c r="S922" s="19"/>
      <c r="U922">
        <f ca="1">IF(AND(ISNUMBER(O922),O922&lt;=設定!$C$4),1,0)</f>
        <v>0</v>
      </c>
      <c r="V922" t="str">
        <f ca="1">IF(U922=1,SUM($U$10:U922),"")</f>
        <v/>
      </c>
    </row>
    <row r="923" spans="2:22">
      <c r="B923" s="8" t="str">
        <f>IF(C923="","",COUNT($C$10:C923))</f>
        <v/>
      </c>
      <c r="C923" s="20"/>
      <c r="D923" s="11"/>
      <c r="E923" s="9"/>
      <c r="F923" s="21" t="str">
        <f>IF(E923="","",IFERROR(INDEX(食材マスタ!$D$10:$D$309,MATCH(E923,食材マスタ!$C$10:$C$309,0)),"※コード未登録"))</f>
        <v/>
      </c>
      <c r="G923" s="16"/>
      <c r="H923" s="8" t="str">
        <f>IF(E923="","",IFERROR(INDEX(食材マスタ!$H$10:$H$309,MATCH(E923,食材マスタ!$C$10:$C$309,0)),""))</f>
        <v/>
      </c>
      <c r="I923" s="15" t="str">
        <f>IF(E923="","",IFERROR(INDEX(食材マスタ!$K$10:$K$309,MATCH(E923,食材マスタ!$C$10:$C$309,0)),""))</f>
        <v/>
      </c>
      <c r="J923" s="15" t="str">
        <f t="shared" si="70"/>
        <v/>
      </c>
      <c r="K923" s="20"/>
      <c r="L923" s="8" t="str">
        <f t="shared" si="71"/>
        <v/>
      </c>
      <c r="M923" s="9"/>
      <c r="N923" s="13" t="str">
        <f t="shared" si="72"/>
        <v/>
      </c>
      <c r="O923" s="22" t="str">
        <f t="shared" ca="1" si="73"/>
        <v/>
      </c>
      <c r="P923" s="17" t="str">
        <f t="shared" si="74"/>
        <v/>
      </c>
      <c r="Q923" s="11"/>
      <c r="R923" s="19"/>
      <c r="S923" s="19"/>
      <c r="U923">
        <f ca="1">IF(AND(ISNUMBER(O923),O923&lt;=設定!$C$4),1,0)</f>
        <v>0</v>
      </c>
      <c r="V923" t="str">
        <f ca="1">IF(U923=1,SUM($U$10:U923),"")</f>
        <v/>
      </c>
    </row>
    <row r="924" spans="2:22">
      <c r="B924" s="8" t="str">
        <f>IF(C924="","",COUNT($C$10:C924))</f>
        <v/>
      </c>
      <c r="C924" s="20"/>
      <c r="D924" s="11"/>
      <c r="E924" s="9"/>
      <c r="F924" s="21" t="str">
        <f>IF(E924="","",IFERROR(INDEX(食材マスタ!$D$10:$D$309,MATCH(E924,食材マスタ!$C$10:$C$309,0)),"※コード未登録"))</f>
        <v/>
      </c>
      <c r="G924" s="16"/>
      <c r="H924" s="8" t="str">
        <f>IF(E924="","",IFERROR(INDEX(食材マスタ!$H$10:$H$309,MATCH(E924,食材マスタ!$C$10:$C$309,0)),""))</f>
        <v/>
      </c>
      <c r="I924" s="15" t="str">
        <f>IF(E924="","",IFERROR(INDEX(食材マスタ!$K$10:$K$309,MATCH(E924,食材マスタ!$C$10:$C$309,0)),""))</f>
        <v/>
      </c>
      <c r="J924" s="15" t="str">
        <f t="shared" si="70"/>
        <v/>
      </c>
      <c r="K924" s="20"/>
      <c r="L924" s="8" t="str">
        <f t="shared" si="71"/>
        <v/>
      </c>
      <c r="M924" s="9"/>
      <c r="N924" s="13" t="str">
        <f t="shared" si="72"/>
        <v/>
      </c>
      <c r="O924" s="22" t="str">
        <f t="shared" ca="1" si="73"/>
        <v/>
      </c>
      <c r="P924" s="17" t="str">
        <f t="shared" si="74"/>
        <v/>
      </c>
      <c r="Q924" s="11"/>
      <c r="R924" s="19"/>
      <c r="S924" s="19"/>
      <c r="U924">
        <f ca="1">IF(AND(ISNUMBER(O924),O924&lt;=設定!$C$4),1,0)</f>
        <v>0</v>
      </c>
      <c r="V924" t="str">
        <f ca="1">IF(U924=1,SUM($U$10:U924),"")</f>
        <v/>
      </c>
    </row>
    <row r="925" spans="2:22">
      <c r="B925" s="8" t="str">
        <f>IF(C925="","",COUNT($C$10:C925))</f>
        <v/>
      </c>
      <c r="C925" s="20"/>
      <c r="D925" s="11"/>
      <c r="E925" s="9"/>
      <c r="F925" s="21" t="str">
        <f>IF(E925="","",IFERROR(INDEX(食材マスタ!$D$10:$D$309,MATCH(E925,食材マスタ!$C$10:$C$309,0)),"※コード未登録"))</f>
        <v/>
      </c>
      <c r="G925" s="16"/>
      <c r="H925" s="8" t="str">
        <f>IF(E925="","",IFERROR(INDEX(食材マスタ!$H$10:$H$309,MATCH(E925,食材マスタ!$C$10:$C$309,0)),""))</f>
        <v/>
      </c>
      <c r="I925" s="15" t="str">
        <f>IF(E925="","",IFERROR(INDEX(食材マスタ!$K$10:$K$309,MATCH(E925,食材マスタ!$C$10:$C$309,0)),""))</f>
        <v/>
      </c>
      <c r="J925" s="15" t="str">
        <f t="shared" si="70"/>
        <v/>
      </c>
      <c r="K925" s="20"/>
      <c r="L925" s="8" t="str">
        <f t="shared" si="71"/>
        <v/>
      </c>
      <c r="M925" s="9"/>
      <c r="N925" s="13" t="str">
        <f t="shared" si="72"/>
        <v/>
      </c>
      <c r="O925" s="22" t="str">
        <f t="shared" ca="1" si="73"/>
        <v/>
      </c>
      <c r="P925" s="17" t="str">
        <f t="shared" si="74"/>
        <v/>
      </c>
      <c r="Q925" s="11"/>
      <c r="R925" s="19"/>
      <c r="S925" s="19"/>
      <c r="U925">
        <f ca="1">IF(AND(ISNUMBER(O925),O925&lt;=設定!$C$4),1,0)</f>
        <v>0</v>
      </c>
      <c r="V925" t="str">
        <f ca="1">IF(U925=1,SUM($U$10:U925),"")</f>
        <v/>
      </c>
    </row>
    <row r="926" spans="2:22">
      <c r="B926" s="8" t="str">
        <f>IF(C926="","",COUNT($C$10:C926))</f>
        <v/>
      </c>
      <c r="C926" s="20"/>
      <c r="D926" s="11"/>
      <c r="E926" s="9"/>
      <c r="F926" s="21" t="str">
        <f>IF(E926="","",IFERROR(INDEX(食材マスタ!$D$10:$D$309,MATCH(E926,食材マスタ!$C$10:$C$309,0)),"※コード未登録"))</f>
        <v/>
      </c>
      <c r="G926" s="16"/>
      <c r="H926" s="8" t="str">
        <f>IF(E926="","",IFERROR(INDEX(食材マスタ!$H$10:$H$309,MATCH(E926,食材マスタ!$C$10:$C$309,0)),""))</f>
        <v/>
      </c>
      <c r="I926" s="15" t="str">
        <f>IF(E926="","",IFERROR(INDEX(食材マスタ!$K$10:$K$309,MATCH(E926,食材マスタ!$C$10:$C$309,0)),""))</f>
        <v/>
      </c>
      <c r="J926" s="15" t="str">
        <f t="shared" si="70"/>
        <v/>
      </c>
      <c r="K926" s="20"/>
      <c r="L926" s="8" t="str">
        <f t="shared" si="71"/>
        <v/>
      </c>
      <c r="M926" s="9"/>
      <c r="N926" s="13" t="str">
        <f t="shared" si="72"/>
        <v/>
      </c>
      <c r="O926" s="22" t="str">
        <f t="shared" ca="1" si="73"/>
        <v/>
      </c>
      <c r="P926" s="17" t="str">
        <f t="shared" si="74"/>
        <v/>
      </c>
      <c r="Q926" s="11"/>
      <c r="R926" s="19"/>
      <c r="S926" s="19"/>
      <c r="U926">
        <f ca="1">IF(AND(ISNUMBER(O926),O926&lt;=設定!$C$4),1,0)</f>
        <v>0</v>
      </c>
      <c r="V926" t="str">
        <f ca="1">IF(U926=1,SUM($U$10:U926),"")</f>
        <v/>
      </c>
    </row>
    <row r="927" spans="2:22">
      <c r="B927" s="8" t="str">
        <f>IF(C927="","",COUNT($C$10:C927))</f>
        <v/>
      </c>
      <c r="C927" s="20"/>
      <c r="D927" s="11"/>
      <c r="E927" s="9"/>
      <c r="F927" s="21" t="str">
        <f>IF(E927="","",IFERROR(INDEX(食材マスタ!$D$10:$D$309,MATCH(E927,食材マスタ!$C$10:$C$309,0)),"※コード未登録"))</f>
        <v/>
      </c>
      <c r="G927" s="16"/>
      <c r="H927" s="8" t="str">
        <f>IF(E927="","",IFERROR(INDEX(食材マスタ!$H$10:$H$309,MATCH(E927,食材マスタ!$C$10:$C$309,0)),""))</f>
        <v/>
      </c>
      <c r="I927" s="15" t="str">
        <f>IF(E927="","",IFERROR(INDEX(食材マスタ!$K$10:$K$309,MATCH(E927,食材マスタ!$C$10:$C$309,0)),""))</f>
        <v/>
      </c>
      <c r="J927" s="15" t="str">
        <f t="shared" si="70"/>
        <v/>
      </c>
      <c r="K927" s="20"/>
      <c r="L927" s="8" t="str">
        <f t="shared" si="71"/>
        <v/>
      </c>
      <c r="M927" s="9"/>
      <c r="N927" s="13" t="str">
        <f t="shared" si="72"/>
        <v/>
      </c>
      <c r="O927" s="22" t="str">
        <f t="shared" ca="1" si="73"/>
        <v/>
      </c>
      <c r="P927" s="17" t="str">
        <f t="shared" si="74"/>
        <v/>
      </c>
      <c r="Q927" s="11"/>
      <c r="R927" s="19"/>
      <c r="S927" s="19"/>
      <c r="U927">
        <f ca="1">IF(AND(ISNUMBER(O927),O927&lt;=設定!$C$4),1,0)</f>
        <v>0</v>
      </c>
      <c r="V927" t="str">
        <f ca="1">IF(U927=1,SUM($U$10:U927),"")</f>
        <v/>
      </c>
    </row>
    <row r="928" spans="2:22">
      <c r="B928" s="8" t="str">
        <f>IF(C928="","",COUNT($C$10:C928))</f>
        <v/>
      </c>
      <c r="C928" s="20"/>
      <c r="D928" s="11"/>
      <c r="E928" s="9"/>
      <c r="F928" s="21" t="str">
        <f>IF(E928="","",IFERROR(INDEX(食材マスタ!$D$10:$D$309,MATCH(E928,食材マスタ!$C$10:$C$309,0)),"※コード未登録"))</f>
        <v/>
      </c>
      <c r="G928" s="16"/>
      <c r="H928" s="8" t="str">
        <f>IF(E928="","",IFERROR(INDEX(食材マスタ!$H$10:$H$309,MATCH(E928,食材マスタ!$C$10:$C$309,0)),""))</f>
        <v/>
      </c>
      <c r="I928" s="15" t="str">
        <f>IF(E928="","",IFERROR(INDEX(食材マスタ!$K$10:$K$309,MATCH(E928,食材マスタ!$C$10:$C$309,0)),""))</f>
        <v/>
      </c>
      <c r="J928" s="15" t="str">
        <f t="shared" si="70"/>
        <v/>
      </c>
      <c r="K928" s="20"/>
      <c r="L928" s="8" t="str">
        <f t="shared" si="71"/>
        <v/>
      </c>
      <c r="M928" s="9"/>
      <c r="N928" s="13" t="str">
        <f t="shared" si="72"/>
        <v/>
      </c>
      <c r="O928" s="22" t="str">
        <f t="shared" ca="1" si="73"/>
        <v/>
      </c>
      <c r="P928" s="17" t="str">
        <f t="shared" si="74"/>
        <v/>
      </c>
      <c r="Q928" s="11"/>
      <c r="R928" s="19"/>
      <c r="S928" s="19"/>
      <c r="U928">
        <f ca="1">IF(AND(ISNUMBER(O928),O928&lt;=設定!$C$4),1,0)</f>
        <v>0</v>
      </c>
      <c r="V928" t="str">
        <f ca="1">IF(U928=1,SUM($U$10:U928),"")</f>
        <v/>
      </c>
    </row>
    <row r="929" spans="2:22">
      <c r="B929" s="8" t="str">
        <f>IF(C929="","",COUNT($C$10:C929))</f>
        <v/>
      </c>
      <c r="C929" s="20"/>
      <c r="D929" s="11"/>
      <c r="E929" s="9"/>
      <c r="F929" s="21" t="str">
        <f>IF(E929="","",IFERROR(INDEX(食材マスタ!$D$10:$D$309,MATCH(E929,食材マスタ!$C$10:$C$309,0)),"※コード未登録"))</f>
        <v/>
      </c>
      <c r="G929" s="16"/>
      <c r="H929" s="8" t="str">
        <f>IF(E929="","",IFERROR(INDEX(食材マスタ!$H$10:$H$309,MATCH(E929,食材マスタ!$C$10:$C$309,0)),""))</f>
        <v/>
      </c>
      <c r="I929" s="15" t="str">
        <f>IF(E929="","",IFERROR(INDEX(食材マスタ!$K$10:$K$309,MATCH(E929,食材マスタ!$C$10:$C$309,0)),""))</f>
        <v/>
      </c>
      <c r="J929" s="15" t="str">
        <f t="shared" si="70"/>
        <v/>
      </c>
      <c r="K929" s="20"/>
      <c r="L929" s="8" t="str">
        <f t="shared" si="71"/>
        <v/>
      </c>
      <c r="M929" s="9"/>
      <c r="N929" s="13" t="str">
        <f t="shared" si="72"/>
        <v/>
      </c>
      <c r="O929" s="22" t="str">
        <f t="shared" ca="1" si="73"/>
        <v/>
      </c>
      <c r="P929" s="17" t="str">
        <f t="shared" si="74"/>
        <v/>
      </c>
      <c r="Q929" s="11"/>
      <c r="R929" s="19"/>
      <c r="S929" s="19"/>
      <c r="U929">
        <f ca="1">IF(AND(ISNUMBER(O929),O929&lt;=設定!$C$4),1,0)</f>
        <v>0</v>
      </c>
      <c r="V929" t="str">
        <f ca="1">IF(U929=1,SUM($U$10:U929),"")</f>
        <v/>
      </c>
    </row>
    <row r="930" spans="2:22">
      <c r="B930" s="8" t="str">
        <f>IF(C930="","",COUNT($C$10:C930))</f>
        <v/>
      </c>
      <c r="C930" s="20"/>
      <c r="D930" s="11"/>
      <c r="E930" s="9"/>
      <c r="F930" s="21" t="str">
        <f>IF(E930="","",IFERROR(INDEX(食材マスタ!$D$10:$D$309,MATCH(E930,食材マスタ!$C$10:$C$309,0)),"※コード未登録"))</f>
        <v/>
      </c>
      <c r="G930" s="16"/>
      <c r="H930" s="8" t="str">
        <f>IF(E930="","",IFERROR(INDEX(食材マスタ!$H$10:$H$309,MATCH(E930,食材マスタ!$C$10:$C$309,0)),""))</f>
        <v/>
      </c>
      <c r="I930" s="15" t="str">
        <f>IF(E930="","",IFERROR(INDEX(食材マスタ!$K$10:$K$309,MATCH(E930,食材マスタ!$C$10:$C$309,0)),""))</f>
        <v/>
      </c>
      <c r="J930" s="15" t="str">
        <f t="shared" si="70"/>
        <v/>
      </c>
      <c r="K930" s="20"/>
      <c r="L930" s="8" t="str">
        <f t="shared" si="71"/>
        <v/>
      </c>
      <c r="M930" s="9"/>
      <c r="N930" s="13" t="str">
        <f t="shared" si="72"/>
        <v/>
      </c>
      <c r="O930" s="22" t="str">
        <f t="shared" ca="1" si="73"/>
        <v/>
      </c>
      <c r="P930" s="17" t="str">
        <f t="shared" si="74"/>
        <v/>
      </c>
      <c r="Q930" s="11"/>
      <c r="R930" s="19"/>
      <c r="S930" s="19"/>
      <c r="U930">
        <f ca="1">IF(AND(ISNUMBER(O930),O930&lt;=設定!$C$4),1,0)</f>
        <v>0</v>
      </c>
      <c r="V930" t="str">
        <f ca="1">IF(U930=1,SUM($U$10:U930),"")</f>
        <v/>
      </c>
    </row>
    <row r="931" spans="2:22">
      <c r="B931" s="8" t="str">
        <f>IF(C931="","",COUNT($C$10:C931))</f>
        <v/>
      </c>
      <c r="C931" s="20"/>
      <c r="D931" s="11"/>
      <c r="E931" s="9"/>
      <c r="F931" s="21" t="str">
        <f>IF(E931="","",IFERROR(INDEX(食材マスタ!$D$10:$D$309,MATCH(E931,食材マスタ!$C$10:$C$309,0)),"※コード未登録"))</f>
        <v/>
      </c>
      <c r="G931" s="16"/>
      <c r="H931" s="8" t="str">
        <f>IF(E931="","",IFERROR(INDEX(食材マスタ!$H$10:$H$309,MATCH(E931,食材マスタ!$C$10:$C$309,0)),""))</f>
        <v/>
      </c>
      <c r="I931" s="15" t="str">
        <f>IF(E931="","",IFERROR(INDEX(食材マスタ!$K$10:$K$309,MATCH(E931,食材マスタ!$C$10:$C$309,0)),""))</f>
        <v/>
      </c>
      <c r="J931" s="15" t="str">
        <f t="shared" si="70"/>
        <v/>
      </c>
      <c r="K931" s="20"/>
      <c r="L931" s="8" t="str">
        <f t="shared" si="71"/>
        <v/>
      </c>
      <c r="M931" s="9"/>
      <c r="N931" s="13" t="str">
        <f t="shared" si="72"/>
        <v/>
      </c>
      <c r="O931" s="22" t="str">
        <f t="shared" ca="1" si="73"/>
        <v/>
      </c>
      <c r="P931" s="17" t="str">
        <f t="shared" si="74"/>
        <v/>
      </c>
      <c r="Q931" s="11"/>
      <c r="R931" s="19"/>
      <c r="S931" s="19"/>
      <c r="U931">
        <f ca="1">IF(AND(ISNUMBER(O931),O931&lt;=設定!$C$4),1,0)</f>
        <v>0</v>
      </c>
      <c r="V931" t="str">
        <f ca="1">IF(U931=1,SUM($U$10:U931),"")</f>
        <v/>
      </c>
    </row>
    <row r="932" spans="2:22">
      <c r="B932" s="8" t="str">
        <f>IF(C932="","",COUNT($C$10:C932))</f>
        <v/>
      </c>
      <c r="C932" s="20"/>
      <c r="D932" s="11"/>
      <c r="E932" s="9"/>
      <c r="F932" s="21" t="str">
        <f>IF(E932="","",IFERROR(INDEX(食材マスタ!$D$10:$D$309,MATCH(E932,食材マスタ!$C$10:$C$309,0)),"※コード未登録"))</f>
        <v/>
      </c>
      <c r="G932" s="16"/>
      <c r="H932" s="8" t="str">
        <f>IF(E932="","",IFERROR(INDEX(食材マスタ!$H$10:$H$309,MATCH(E932,食材マスタ!$C$10:$C$309,0)),""))</f>
        <v/>
      </c>
      <c r="I932" s="15" t="str">
        <f>IF(E932="","",IFERROR(INDEX(食材マスタ!$K$10:$K$309,MATCH(E932,食材マスタ!$C$10:$C$309,0)),""))</f>
        <v/>
      </c>
      <c r="J932" s="15" t="str">
        <f t="shared" si="70"/>
        <v/>
      </c>
      <c r="K932" s="20"/>
      <c r="L932" s="8" t="str">
        <f t="shared" si="71"/>
        <v/>
      </c>
      <c r="M932" s="9"/>
      <c r="N932" s="13" t="str">
        <f t="shared" si="72"/>
        <v/>
      </c>
      <c r="O932" s="22" t="str">
        <f t="shared" ca="1" si="73"/>
        <v/>
      </c>
      <c r="P932" s="17" t="str">
        <f t="shared" si="74"/>
        <v/>
      </c>
      <c r="Q932" s="11"/>
      <c r="R932" s="19"/>
      <c r="S932" s="19"/>
      <c r="U932">
        <f ca="1">IF(AND(ISNUMBER(O932),O932&lt;=設定!$C$4),1,0)</f>
        <v>0</v>
      </c>
      <c r="V932" t="str">
        <f ca="1">IF(U932=1,SUM($U$10:U932),"")</f>
        <v/>
      </c>
    </row>
    <row r="933" spans="2:22">
      <c r="B933" s="8" t="str">
        <f>IF(C933="","",COUNT($C$10:C933))</f>
        <v/>
      </c>
      <c r="C933" s="20"/>
      <c r="D933" s="11"/>
      <c r="E933" s="9"/>
      <c r="F933" s="21" t="str">
        <f>IF(E933="","",IFERROR(INDEX(食材マスタ!$D$10:$D$309,MATCH(E933,食材マスタ!$C$10:$C$309,0)),"※コード未登録"))</f>
        <v/>
      </c>
      <c r="G933" s="16"/>
      <c r="H933" s="8" t="str">
        <f>IF(E933="","",IFERROR(INDEX(食材マスタ!$H$10:$H$309,MATCH(E933,食材マスタ!$C$10:$C$309,0)),""))</f>
        <v/>
      </c>
      <c r="I933" s="15" t="str">
        <f>IF(E933="","",IFERROR(INDEX(食材マスタ!$K$10:$K$309,MATCH(E933,食材マスタ!$C$10:$C$309,0)),""))</f>
        <v/>
      </c>
      <c r="J933" s="15" t="str">
        <f t="shared" si="70"/>
        <v/>
      </c>
      <c r="K933" s="20"/>
      <c r="L933" s="8" t="str">
        <f t="shared" si="71"/>
        <v/>
      </c>
      <c r="M933" s="9"/>
      <c r="N933" s="13" t="str">
        <f t="shared" si="72"/>
        <v/>
      </c>
      <c r="O933" s="22" t="str">
        <f t="shared" ca="1" si="73"/>
        <v/>
      </c>
      <c r="P933" s="17" t="str">
        <f t="shared" si="74"/>
        <v/>
      </c>
      <c r="Q933" s="11"/>
      <c r="R933" s="19"/>
      <c r="S933" s="19"/>
      <c r="U933">
        <f ca="1">IF(AND(ISNUMBER(O933),O933&lt;=設定!$C$4),1,0)</f>
        <v>0</v>
      </c>
      <c r="V933" t="str">
        <f ca="1">IF(U933=1,SUM($U$10:U933),"")</f>
        <v/>
      </c>
    </row>
    <row r="934" spans="2:22">
      <c r="B934" s="8" t="str">
        <f>IF(C934="","",COUNT($C$10:C934))</f>
        <v/>
      </c>
      <c r="C934" s="20"/>
      <c r="D934" s="11"/>
      <c r="E934" s="9"/>
      <c r="F934" s="21" t="str">
        <f>IF(E934="","",IFERROR(INDEX(食材マスタ!$D$10:$D$309,MATCH(E934,食材マスタ!$C$10:$C$309,0)),"※コード未登録"))</f>
        <v/>
      </c>
      <c r="G934" s="16"/>
      <c r="H934" s="8" t="str">
        <f>IF(E934="","",IFERROR(INDEX(食材マスタ!$H$10:$H$309,MATCH(E934,食材マスタ!$C$10:$C$309,0)),""))</f>
        <v/>
      </c>
      <c r="I934" s="15" t="str">
        <f>IF(E934="","",IFERROR(INDEX(食材マスタ!$K$10:$K$309,MATCH(E934,食材マスタ!$C$10:$C$309,0)),""))</f>
        <v/>
      </c>
      <c r="J934" s="15" t="str">
        <f t="shared" si="70"/>
        <v/>
      </c>
      <c r="K934" s="20"/>
      <c r="L934" s="8" t="str">
        <f t="shared" si="71"/>
        <v/>
      </c>
      <c r="M934" s="9"/>
      <c r="N934" s="13" t="str">
        <f t="shared" si="72"/>
        <v/>
      </c>
      <c r="O934" s="22" t="str">
        <f t="shared" ca="1" si="73"/>
        <v/>
      </c>
      <c r="P934" s="17" t="str">
        <f t="shared" si="74"/>
        <v/>
      </c>
      <c r="Q934" s="11"/>
      <c r="R934" s="19"/>
      <c r="S934" s="19"/>
      <c r="U934">
        <f ca="1">IF(AND(ISNUMBER(O934),O934&lt;=設定!$C$4),1,0)</f>
        <v>0</v>
      </c>
      <c r="V934" t="str">
        <f ca="1">IF(U934=1,SUM($U$10:U934),"")</f>
        <v/>
      </c>
    </row>
    <row r="935" spans="2:22">
      <c r="B935" s="8" t="str">
        <f>IF(C935="","",COUNT($C$10:C935))</f>
        <v/>
      </c>
      <c r="C935" s="20"/>
      <c r="D935" s="11"/>
      <c r="E935" s="9"/>
      <c r="F935" s="21" t="str">
        <f>IF(E935="","",IFERROR(INDEX(食材マスタ!$D$10:$D$309,MATCH(E935,食材マスタ!$C$10:$C$309,0)),"※コード未登録"))</f>
        <v/>
      </c>
      <c r="G935" s="16"/>
      <c r="H935" s="8" t="str">
        <f>IF(E935="","",IFERROR(INDEX(食材マスタ!$H$10:$H$309,MATCH(E935,食材マスタ!$C$10:$C$309,0)),""))</f>
        <v/>
      </c>
      <c r="I935" s="15" t="str">
        <f>IF(E935="","",IFERROR(INDEX(食材マスタ!$K$10:$K$309,MATCH(E935,食材マスタ!$C$10:$C$309,0)),""))</f>
        <v/>
      </c>
      <c r="J935" s="15" t="str">
        <f t="shared" si="70"/>
        <v/>
      </c>
      <c r="K935" s="20"/>
      <c r="L935" s="8" t="str">
        <f t="shared" si="71"/>
        <v/>
      </c>
      <c r="M935" s="9"/>
      <c r="N935" s="13" t="str">
        <f t="shared" si="72"/>
        <v/>
      </c>
      <c r="O935" s="22" t="str">
        <f t="shared" ca="1" si="73"/>
        <v/>
      </c>
      <c r="P935" s="17" t="str">
        <f t="shared" si="74"/>
        <v/>
      </c>
      <c r="Q935" s="11"/>
      <c r="R935" s="19"/>
      <c r="S935" s="19"/>
      <c r="U935">
        <f ca="1">IF(AND(ISNUMBER(O935),O935&lt;=設定!$C$4),1,0)</f>
        <v>0</v>
      </c>
      <c r="V935" t="str">
        <f ca="1">IF(U935=1,SUM($U$10:U935),"")</f>
        <v/>
      </c>
    </row>
    <row r="936" spans="2:22">
      <c r="B936" s="8" t="str">
        <f>IF(C936="","",COUNT($C$10:C936))</f>
        <v/>
      </c>
      <c r="C936" s="20"/>
      <c r="D936" s="11"/>
      <c r="E936" s="9"/>
      <c r="F936" s="21" t="str">
        <f>IF(E936="","",IFERROR(INDEX(食材マスタ!$D$10:$D$309,MATCH(E936,食材マスタ!$C$10:$C$309,0)),"※コード未登録"))</f>
        <v/>
      </c>
      <c r="G936" s="16"/>
      <c r="H936" s="8" t="str">
        <f>IF(E936="","",IFERROR(INDEX(食材マスタ!$H$10:$H$309,MATCH(E936,食材マスタ!$C$10:$C$309,0)),""))</f>
        <v/>
      </c>
      <c r="I936" s="15" t="str">
        <f>IF(E936="","",IFERROR(INDEX(食材マスタ!$K$10:$K$309,MATCH(E936,食材マスタ!$C$10:$C$309,0)),""))</f>
        <v/>
      </c>
      <c r="J936" s="15" t="str">
        <f t="shared" si="70"/>
        <v/>
      </c>
      <c r="K936" s="20"/>
      <c r="L936" s="8" t="str">
        <f t="shared" si="71"/>
        <v/>
      </c>
      <c r="M936" s="9"/>
      <c r="N936" s="13" t="str">
        <f t="shared" si="72"/>
        <v/>
      </c>
      <c r="O936" s="22" t="str">
        <f t="shared" ca="1" si="73"/>
        <v/>
      </c>
      <c r="P936" s="17" t="str">
        <f t="shared" si="74"/>
        <v/>
      </c>
      <c r="Q936" s="11"/>
      <c r="R936" s="19"/>
      <c r="S936" s="19"/>
      <c r="U936">
        <f ca="1">IF(AND(ISNUMBER(O936),O936&lt;=設定!$C$4),1,0)</f>
        <v>0</v>
      </c>
      <c r="V936" t="str">
        <f ca="1">IF(U936=1,SUM($U$10:U936),"")</f>
        <v/>
      </c>
    </row>
    <row r="937" spans="2:22">
      <c r="B937" s="8" t="str">
        <f>IF(C937="","",COUNT($C$10:C937))</f>
        <v/>
      </c>
      <c r="C937" s="20"/>
      <c r="D937" s="11"/>
      <c r="E937" s="9"/>
      <c r="F937" s="21" t="str">
        <f>IF(E937="","",IFERROR(INDEX(食材マスタ!$D$10:$D$309,MATCH(E937,食材マスタ!$C$10:$C$309,0)),"※コード未登録"))</f>
        <v/>
      </c>
      <c r="G937" s="16"/>
      <c r="H937" s="8" t="str">
        <f>IF(E937="","",IFERROR(INDEX(食材マスタ!$H$10:$H$309,MATCH(E937,食材マスタ!$C$10:$C$309,0)),""))</f>
        <v/>
      </c>
      <c r="I937" s="15" t="str">
        <f>IF(E937="","",IFERROR(INDEX(食材マスタ!$K$10:$K$309,MATCH(E937,食材マスタ!$C$10:$C$309,0)),""))</f>
        <v/>
      </c>
      <c r="J937" s="15" t="str">
        <f t="shared" si="70"/>
        <v/>
      </c>
      <c r="K937" s="20"/>
      <c r="L937" s="8" t="str">
        <f t="shared" si="71"/>
        <v/>
      </c>
      <c r="M937" s="9"/>
      <c r="N937" s="13" t="str">
        <f t="shared" si="72"/>
        <v/>
      </c>
      <c r="O937" s="22" t="str">
        <f t="shared" ca="1" si="73"/>
        <v/>
      </c>
      <c r="P937" s="17" t="str">
        <f t="shared" si="74"/>
        <v/>
      </c>
      <c r="Q937" s="11"/>
      <c r="R937" s="19"/>
      <c r="S937" s="19"/>
      <c r="U937">
        <f ca="1">IF(AND(ISNUMBER(O937),O937&lt;=設定!$C$4),1,0)</f>
        <v>0</v>
      </c>
      <c r="V937" t="str">
        <f ca="1">IF(U937=1,SUM($U$10:U937),"")</f>
        <v/>
      </c>
    </row>
    <row r="938" spans="2:22">
      <c r="B938" s="8" t="str">
        <f>IF(C938="","",COUNT($C$10:C938))</f>
        <v/>
      </c>
      <c r="C938" s="20"/>
      <c r="D938" s="11"/>
      <c r="E938" s="9"/>
      <c r="F938" s="21" t="str">
        <f>IF(E938="","",IFERROR(INDEX(食材マスタ!$D$10:$D$309,MATCH(E938,食材マスタ!$C$10:$C$309,0)),"※コード未登録"))</f>
        <v/>
      </c>
      <c r="G938" s="16"/>
      <c r="H938" s="8" t="str">
        <f>IF(E938="","",IFERROR(INDEX(食材マスタ!$H$10:$H$309,MATCH(E938,食材マスタ!$C$10:$C$309,0)),""))</f>
        <v/>
      </c>
      <c r="I938" s="15" t="str">
        <f>IF(E938="","",IFERROR(INDEX(食材マスタ!$K$10:$K$309,MATCH(E938,食材マスタ!$C$10:$C$309,0)),""))</f>
        <v/>
      </c>
      <c r="J938" s="15" t="str">
        <f t="shared" si="70"/>
        <v/>
      </c>
      <c r="K938" s="20"/>
      <c r="L938" s="8" t="str">
        <f t="shared" si="71"/>
        <v/>
      </c>
      <c r="M938" s="9"/>
      <c r="N938" s="13" t="str">
        <f t="shared" si="72"/>
        <v/>
      </c>
      <c r="O938" s="22" t="str">
        <f t="shared" ca="1" si="73"/>
        <v/>
      </c>
      <c r="P938" s="17" t="str">
        <f t="shared" si="74"/>
        <v/>
      </c>
      <c r="Q938" s="11"/>
      <c r="R938" s="19"/>
      <c r="S938" s="19"/>
      <c r="U938">
        <f ca="1">IF(AND(ISNUMBER(O938),O938&lt;=設定!$C$4),1,0)</f>
        <v>0</v>
      </c>
      <c r="V938" t="str">
        <f ca="1">IF(U938=1,SUM($U$10:U938),"")</f>
        <v/>
      </c>
    </row>
    <row r="939" spans="2:22">
      <c r="B939" s="8" t="str">
        <f>IF(C939="","",COUNT($C$10:C939))</f>
        <v/>
      </c>
      <c r="C939" s="20"/>
      <c r="D939" s="11"/>
      <c r="E939" s="9"/>
      <c r="F939" s="21" t="str">
        <f>IF(E939="","",IFERROR(INDEX(食材マスタ!$D$10:$D$309,MATCH(E939,食材マスタ!$C$10:$C$309,0)),"※コード未登録"))</f>
        <v/>
      </c>
      <c r="G939" s="16"/>
      <c r="H939" s="8" t="str">
        <f>IF(E939="","",IFERROR(INDEX(食材マスタ!$H$10:$H$309,MATCH(E939,食材マスタ!$C$10:$C$309,0)),""))</f>
        <v/>
      </c>
      <c r="I939" s="15" t="str">
        <f>IF(E939="","",IFERROR(INDEX(食材マスタ!$K$10:$K$309,MATCH(E939,食材マスタ!$C$10:$C$309,0)),""))</f>
        <v/>
      </c>
      <c r="J939" s="15" t="str">
        <f t="shared" si="70"/>
        <v/>
      </c>
      <c r="K939" s="20"/>
      <c r="L939" s="8" t="str">
        <f t="shared" si="71"/>
        <v/>
      </c>
      <c r="M939" s="9"/>
      <c r="N939" s="13" t="str">
        <f t="shared" si="72"/>
        <v/>
      </c>
      <c r="O939" s="22" t="str">
        <f t="shared" ca="1" si="73"/>
        <v/>
      </c>
      <c r="P939" s="17" t="str">
        <f t="shared" si="74"/>
        <v/>
      </c>
      <c r="Q939" s="11"/>
      <c r="R939" s="19"/>
      <c r="S939" s="19"/>
      <c r="U939">
        <f ca="1">IF(AND(ISNUMBER(O939),O939&lt;=設定!$C$4),1,0)</f>
        <v>0</v>
      </c>
      <c r="V939" t="str">
        <f ca="1">IF(U939=1,SUM($U$10:U939),"")</f>
        <v/>
      </c>
    </row>
    <row r="940" spans="2:22">
      <c r="B940" s="8" t="str">
        <f>IF(C940="","",COUNT($C$10:C940))</f>
        <v/>
      </c>
      <c r="C940" s="20"/>
      <c r="D940" s="11"/>
      <c r="E940" s="9"/>
      <c r="F940" s="21" t="str">
        <f>IF(E940="","",IFERROR(INDEX(食材マスタ!$D$10:$D$309,MATCH(E940,食材マスタ!$C$10:$C$309,0)),"※コード未登録"))</f>
        <v/>
      </c>
      <c r="G940" s="16"/>
      <c r="H940" s="8" t="str">
        <f>IF(E940="","",IFERROR(INDEX(食材マスタ!$H$10:$H$309,MATCH(E940,食材マスタ!$C$10:$C$309,0)),""))</f>
        <v/>
      </c>
      <c r="I940" s="15" t="str">
        <f>IF(E940="","",IFERROR(INDEX(食材マスタ!$K$10:$K$309,MATCH(E940,食材マスタ!$C$10:$C$309,0)),""))</f>
        <v/>
      </c>
      <c r="J940" s="15" t="str">
        <f t="shared" si="70"/>
        <v/>
      </c>
      <c r="K940" s="20"/>
      <c r="L940" s="8" t="str">
        <f t="shared" si="71"/>
        <v/>
      </c>
      <c r="M940" s="9"/>
      <c r="N940" s="13" t="str">
        <f t="shared" si="72"/>
        <v/>
      </c>
      <c r="O940" s="22" t="str">
        <f t="shared" ca="1" si="73"/>
        <v/>
      </c>
      <c r="P940" s="17" t="str">
        <f t="shared" si="74"/>
        <v/>
      </c>
      <c r="Q940" s="11"/>
      <c r="R940" s="19"/>
      <c r="S940" s="19"/>
      <c r="U940">
        <f ca="1">IF(AND(ISNUMBER(O940),O940&lt;=設定!$C$4),1,0)</f>
        <v>0</v>
      </c>
      <c r="V940" t="str">
        <f ca="1">IF(U940=1,SUM($U$10:U940),"")</f>
        <v/>
      </c>
    </row>
    <row r="941" spans="2:22">
      <c r="B941" s="8" t="str">
        <f>IF(C941="","",COUNT($C$10:C941))</f>
        <v/>
      </c>
      <c r="C941" s="20"/>
      <c r="D941" s="11"/>
      <c r="E941" s="9"/>
      <c r="F941" s="21" t="str">
        <f>IF(E941="","",IFERROR(INDEX(食材マスタ!$D$10:$D$309,MATCH(E941,食材マスタ!$C$10:$C$309,0)),"※コード未登録"))</f>
        <v/>
      </c>
      <c r="G941" s="16"/>
      <c r="H941" s="8" t="str">
        <f>IF(E941="","",IFERROR(INDEX(食材マスタ!$H$10:$H$309,MATCH(E941,食材マスタ!$C$10:$C$309,0)),""))</f>
        <v/>
      </c>
      <c r="I941" s="15" t="str">
        <f>IF(E941="","",IFERROR(INDEX(食材マスタ!$K$10:$K$309,MATCH(E941,食材マスタ!$C$10:$C$309,0)),""))</f>
        <v/>
      </c>
      <c r="J941" s="15" t="str">
        <f t="shared" si="70"/>
        <v/>
      </c>
      <c r="K941" s="20"/>
      <c r="L941" s="8" t="str">
        <f t="shared" si="71"/>
        <v/>
      </c>
      <c r="M941" s="9"/>
      <c r="N941" s="13" t="str">
        <f t="shared" si="72"/>
        <v/>
      </c>
      <c r="O941" s="22" t="str">
        <f t="shared" ca="1" si="73"/>
        <v/>
      </c>
      <c r="P941" s="17" t="str">
        <f t="shared" si="74"/>
        <v/>
      </c>
      <c r="Q941" s="11"/>
      <c r="R941" s="19"/>
      <c r="S941" s="19"/>
      <c r="U941">
        <f ca="1">IF(AND(ISNUMBER(O941),O941&lt;=設定!$C$4),1,0)</f>
        <v>0</v>
      </c>
      <c r="V941" t="str">
        <f ca="1">IF(U941=1,SUM($U$10:U941),"")</f>
        <v/>
      </c>
    </row>
    <row r="942" spans="2:22">
      <c r="B942" s="8" t="str">
        <f>IF(C942="","",COUNT($C$10:C942))</f>
        <v/>
      </c>
      <c r="C942" s="20"/>
      <c r="D942" s="11"/>
      <c r="E942" s="9"/>
      <c r="F942" s="21" t="str">
        <f>IF(E942="","",IFERROR(INDEX(食材マスタ!$D$10:$D$309,MATCH(E942,食材マスタ!$C$10:$C$309,0)),"※コード未登録"))</f>
        <v/>
      </c>
      <c r="G942" s="16"/>
      <c r="H942" s="8" t="str">
        <f>IF(E942="","",IFERROR(INDEX(食材マスタ!$H$10:$H$309,MATCH(E942,食材マスタ!$C$10:$C$309,0)),""))</f>
        <v/>
      </c>
      <c r="I942" s="15" t="str">
        <f>IF(E942="","",IFERROR(INDEX(食材マスタ!$K$10:$K$309,MATCH(E942,食材マスタ!$C$10:$C$309,0)),""))</f>
        <v/>
      </c>
      <c r="J942" s="15" t="str">
        <f t="shared" si="70"/>
        <v/>
      </c>
      <c r="K942" s="20"/>
      <c r="L942" s="8" t="str">
        <f t="shared" si="71"/>
        <v/>
      </c>
      <c r="M942" s="9"/>
      <c r="N942" s="13" t="str">
        <f t="shared" si="72"/>
        <v/>
      </c>
      <c r="O942" s="22" t="str">
        <f t="shared" ca="1" si="73"/>
        <v/>
      </c>
      <c r="P942" s="17" t="str">
        <f t="shared" si="74"/>
        <v/>
      </c>
      <c r="Q942" s="11"/>
      <c r="R942" s="19"/>
      <c r="S942" s="19"/>
      <c r="U942">
        <f ca="1">IF(AND(ISNUMBER(O942),O942&lt;=設定!$C$4),1,0)</f>
        <v>0</v>
      </c>
      <c r="V942" t="str">
        <f ca="1">IF(U942=1,SUM($U$10:U942),"")</f>
        <v/>
      </c>
    </row>
    <row r="943" spans="2:22">
      <c r="B943" s="8" t="str">
        <f>IF(C943="","",COUNT($C$10:C943))</f>
        <v/>
      </c>
      <c r="C943" s="20"/>
      <c r="D943" s="11"/>
      <c r="E943" s="9"/>
      <c r="F943" s="21" t="str">
        <f>IF(E943="","",IFERROR(INDEX(食材マスタ!$D$10:$D$309,MATCH(E943,食材マスタ!$C$10:$C$309,0)),"※コード未登録"))</f>
        <v/>
      </c>
      <c r="G943" s="16"/>
      <c r="H943" s="8" t="str">
        <f>IF(E943="","",IFERROR(INDEX(食材マスタ!$H$10:$H$309,MATCH(E943,食材マスタ!$C$10:$C$309,0)),""))</f>
        <v/>
      </c>
      <c r="I943" s="15" t="str">
        <f>IF(E943="","",IFERROR(INDEX(食材マスタ!$K$10:$K$309,MATCH(E943,食材マスタ!$C$10:$C$309,0)),""))</f>
        <v/>
      </c>
      <c r="J943" s="15" t="str">
        <f t="shared" si="70"/>
        <v/>
      </c>
      <c r="K943" s="20"/>
      <c r="L943" s="8" t="str">
        <f t="shared" si="71"/>
        <v/>
      </c>
      <c r="M943" s="9"/>
      <c r="N943" s="13" t="str">
        <f t="shared" si="72"/>
        <v/>
      </c>
      <c r="O943" s="22" t="str">
        <f t="shared" ca="1" si="73"/>
        <v/>
      </c>
      <c r="P943" s="17" t="str">
        <f t="shared" si="74"/>
        <v/>
      </c>
      <c r="Q943" s="11"/>
      <c r="R943" s="19"/>
      <c r="S943" s="19"/>
      <c r="U943">
        <f ca="1">IF(AND(ISNUMBER(O943),O943&lt;=設定!$C$4),1,0)</f>
        <v>0</v>
      </c>
      <c r="V943" t="str">
        <f ca="1">IF(U943=1,SUM($U$10:U943),"")</f>
        <v/>
      </c>
    </row>
    <row r="944" spans="2:22">
      <c r="B944" s="8" t="str">
        <f>IF(C944="","",COUNT($C$10:C944))</f>
        <v/>
      </c>
      <c r="C944" s="20"/>
      <c r="D944" s="11"/>
      <c r="E944" s="9"/>
      <c r="F944" s="21" t="str">
        <f>IF(E944="","",IFERROR(INDEX(食材マスタ!$D$10:$D$309,MATCH(E944,食材マスタ!$C$10:$C$309,0)),"※コード未登録"))</f>
        <v/>
      </c>
      <c r="G944" s="16"/>
      <c r="H944" s="8" t="str">
        <f>IF(E944="","",IFERROR(INDEX(食材マスタ!$H$10:$H$309,MATCH(E944,食材マスタ!$C$10:$C$309,0)),""))</f>
        <v/>
      </c>
      <c r="I944" s="15" t="str">
        <f>IF(E944="","",IFERROR(INDEX(食材マスタ!$K$10:$K$309,MATCH(E944,食材マスタ!$C$10:$C$309,0)),""))</f>
        <v/>
      </c>
      <c r="J944" s="15" t="str">
        <f t="shared" si="70"/>
        <v/>
      </c>
      <c r="K944" s="20"/>
      <c r="L944" s="8" t="str">
        <f t="shared" si="71"/>
        <v/>
      </c>
      <c r="M944" s="9"/>
      <c r="N944" s="13" t="str">
        <f t="shared" si="72"/>
        <v/>
      </c>
      <c r="O944" s="22" t="str">
        <f t="shared" ca="1" si="73"/>
        <v/>
      </c>
      <c r="P944" s="17" t="str">
        <f t="shared" si="74"/>
        <v/>
      </c>
      <c r="Q944" s="11"/>
      <c r="R944" s="19"/>
      <c r="S944" s="19"/>
      <c r="U944">
        <f ca="1">IF(AND(ISNUMBER(O944),O944&lt;=設定!$C$4),1,0)</f>
        <v>0</v>
      </c>
      <c r="V944" t="str">
        <f ca="1">IF(U944=1,SUM($U$10:U944),"")</f>
        <v/>
      </c>
    </row>
    <row r="945" spans="2:22">
      <c r="B945" s="8" t="str">
        <f>IF(C945="","",COUNT($C$10:C945))</f>
        <v/>
      </c>
      <c r="C945" s="20"/>
      <c r="D945" s="11"/>
      <c r="E945" s="9"/>
      <c r="F945" s="21" t="str">
        <f>IF(E945="","",IFERROR(INDEX(食材マスタ!$D$10:$D$309,MATCH(E945,食材マスタ!$C$10:$C$309,0)),"※コード未登録"))</f>
        <v/>
      </c>
      <c r="G945" s="16"/>
      <c r="H945" s="8" t="str">
        <f>IF(E945="","",IFERROR(INDEX(食材マスタ!$H$10:$H$309,MATCH(E945,食材マスタ!$C$10:$C$309,0)),""))</f>
        <v/>
      </c>
      <c r="I945" s="15" t="str">
        <f>IF(E945="","",IFERROR(INDEX(食材マスタ!$K$10:$K$309,MATCH(E945,食材マスタ!$C$10:$C$309,0)),""))</f>
        <v/>
      </c>
      <c r="J945" s="15" t="str">
        <f t="shared" si="70"/>
        <v/>
      </c>
      <c r="K945" s="20"/>
      <c r="L945" s="8" t="str">
        <f t="shared" si="71"/>
        <v/>
      </c>
      <c r="M945" s="9"/>
      <c r="N945" s="13" t="str">
        <f t="shared" si="72"/>
        <v/>
      </c>
      <c r="O945" s="22" t="str">
        <f t="shared" ca="1" si="73"/>
        <v/>
      </c>
      <c r="P945" s="17" t="str">
        <f t="shared" si="74"/>
        <v/>
      </c>
      <c r="Q945" s="11"/>
      <c r="R945" s="19"/>
      <c r="S945" s="19"/>
      <c r="U945">
        <f ca="1">IF(AND(ISNUMBER(O945),O945&lt;=設定!$C$4),1,0)</f>
        <v>0</v>
      </c>
      <c r="V945" t="str">
        <f ca="1">IF(U945=1,SUM($U$10:U945),"")</f>
        <v/>
      </c>
    </row>
    <row r="946" spans="2:22">
      <c r="B946" s="8" t="str">
        <f>IF(C946="","",COUNT($C$10:C946))</f>
        <v/>
      </c>
      <c r="C946" s="20"/>
      <c r="D946" s="11"/>
      <c r="E946" s="9"/>
      <c r="F946" s="21" t="str">
        <f>IF(E946="","",IFERROR(INDEX(食材マスタ!$D$10:$D$309,MATCH(E946,食材マスタ!$C$10:$C$309,0)),"※コード未登録"))</f>
        <v/>
      </c>
      <c r="G946" s="16"/>
      <c r="H946" s="8" t="str">
        <f>IF(E946="","",IFERROR(INDEX(食材マスタ!$H$10:$H$309,MATCH(E946,食材マスタ!$C$10:$C$309,0)),""))</f>
        <v/>
      </c>
      <c r="I946" s="15" t="str">
        <f>IF(E946="","",IFERROR(INDEX(食材マスタ!$K$10:$K$309,MATCH(E946,食材マスタ!$C$10:$C$309,0)),""))</f>
        <v/>
      </c>
      <c r="J946" s="15" t="str">
        <f t="shared" si="70"/>
        <v/>
      </c>
      <c r="K946" s="20"/>
      <c r="L946" s="8" t="str">
        <f t="shared" si="71"/>
        <v/>
      </c>
      <c r="M946" s="9"/>
      <c r="N946" s="13" t="str">
        <f t="shared" si="72"/>
        <v/>
      </c>
      <c r="O946" s="22" t="str">
        <f t="shared" ca="1" si="73"/>
        <v/>
      </c>
      <c r="P946" s="17" t="str">
        <f t="shared" si="74"/>
        <v/>
      </c>
      <c r="Q946" s="11"/>
      <c r="R946" s="19"/>
      <c r="S946" s="19"/>
      <c r="U946">
        <f ca="1">IF(AND(ISNUMBER(O946),O946&lt;=設定!$C$4),1,0)</f>
        <v>0</v>
      </c>
      <c r="V946" t="str">
        <f ca="1">IF(U946=1,SUM($U$10:U946),"")</f>
        <v/>
      </c>
    </row>
    <row r="947" spans="2:22">
      <c r="B947" s="8" t="str">
        <f>IF(C947="","",COUNT($C$10:C947))</f>
        <v/>
      </c>
      <c r="C947" s="20"/>
      <c r="D947" s="11"/>
      <c r="E947" s="9"/>
      <c r="F947" s="21" t="str">
        <f>IF(E947="","",IFERROR(INDEX(食材マスタ!$D$10:$D$309,MATCH(E947,食材マスタ!$C$10:$C$309,0)),"※コード未登録"))</f>
        <v/>
      </c>
      <c r="G947" s="16"/>
      <c r="H947" s="8" t="str">
        <f>IF(E947="","",IFERROR(INDEX(食材マスタ!$H$10:$H$309,MATCH(E947,食材マスタ!$C$10:$C$309,0)),""))</f>
        <v/>
      </c>
      <c r="I947" s="15" t="str">
        <f>IF(E947="","",IFERROR(INDEX(食材マスタ!$K$10:$K$309,MATCH(E947,食材マスタ!$C$10:$C$309,0)),""))</f>
        <v/>
      </c>
      <c r="J947" s="15" t="str">
        <f t="shared" si="70"/>
        <v/>
      </c>
      <c r="K947" s="20"/>
      <c r="L947" s="8" t="str">
        <f t="shared" si="71"/>
        <v/>
      </c>
      <c r="M947" s="9"/>
      <c r="N947" s="13" t="str">
        <f t="shared" si="72"/>
        <v/>
      </c>
      <c r="O947" s="22" t="str">
        <f t="shared" ca="1" si="73"/>
        <v/>
      </c>
      <c r="P947" s="17" t="str">
        <f t="shared" si="74"/>
        <v/>
      </c>
      <c r="Q947" s="11"/>
      <c r="R947" s="19"/>
      <c r="S947" s="19"/>
      <c r="U947">
        <f ca="1">IF(AND(ISNUMBER(O947),O947&lt;=設定!$C$4),1,0)</f>
        <v>0</v>
      </c>
      <c r="V947" t="str">
        <f ca="1">IF(U947=1,SUM($U$10:U947),"")</f>
        <v/>
      </c>
    </row>
    <row r="948" spans="2:22">
      <c r="B948" s="8" t="str">
        <f>IF(C948="","",COUNT($C$10:C948))</f>
        <v/>
      </c>
      <c r="C948" s="20"/>
      <c r="D948" s="11"/>
      <c r="E948" s="9"/>
      <c r="F948" s="21" t="str">
        <f>IF(E948="","",IFERROR(INDEX(食材マスタ!$D$10:$D$309,MATCH(E948,食材マスタ!$C$10:$C$309,0)),"※コード未登録"))</f>
        <v/>
      </c>
      <c r="G948" s="16"/>
      <c r="H948" s="8" t="str">
        <f>IF(E948="","",IFERROR(INDEX(食材マスタ!$H$10:$H$309,MATCH(E948,食材マスタ!$C$10:$C$309,0)),""))</f>
        <v/>
      </c>
      <c r="I948" s="15" t="str">
        <f>IF(E948="","",IFERROR(INDEX(食材マスタ!$K$10:$K$309,MATCH(E948,食材マスタ!$C$10:$C$309,0)),""))</f>
        <v/>
      </c>
      <c r="J948" s="15" t="str">
        <f t="shared" si="70"/>
        <v/>
      </c>
      <c r="K948" s="20"/>
      <c r="L948" s="8" t="str">
        <f t="shared" si="71"/>
        <v/>
      </c>
      <c r="M948" s="9"/>
      <c r="N948" s="13" t="str">
        <f t="shared" si="72"/>
        <v/>
      </c>
      <c r="O948" s="22" t="str">
        <f t="shared" ca="1" si="73"/>
        <v/>
      </c>
      <c r="P948" s="17" t="str">
        <f t="shared" si="74"/>
        <v/>
      </c>
      <c r="Q948" s="11"/>
      <c r="R948" s="19"/>
      <c r="S948" s="19"/>
      <c r="U948">
        <f ca="1">IF(AND(ISNUMBER(O948),O948&lt;=設定!$C$4),1,0)</f>
        <v>0</v>
      </c>
      <c r="V948" t="str">
        <f ca="1">IF(U948=1,SUM($U$10:U948),"")</f>
        <v/>
      </c>
    </row>
    <row r="949" spans="2:22">
      <c r="B949" s="8" t="str">
        <f>IF(C949="","",COUNT($C$10:C949))</f>
        <v/>
      </c>
      <c r="C949" s="20"/>
      <c r="D949" s="11"/>
      <c r="E949" s="9"/>
      <c r="F949" s="21" t="str">
        <f>IF(E949="","",IFERROR(INDEX(食材マスタ!$D$10:$D$309,MATCH(E949,食材マスタ!$C$10:$C$309,0)),"※コード未登録"))</f>
        <v/>
      </c>
      <c r="G949" s="16"/>
      <c r="H949" s="8" t="str">
        <f>IF(E949="","",IFERROR(INDEX(食材マスタ!$H$10:$H$309,MATCH(E949,食材マスタ!$C$10:$C$309,0)),""))</f>
        <v/>
      </c>
      <c r="I949" s="15" t="str">
        <f>IF(E949="","",IFERROR(INDEX(食材マスタ!$K$10:$K$309,MATCH(E949,食材マスタ!$C$10:$C$309,0)),""))</f>
        <v/>
      </c>
      <c r="J949" s="15" t="str">
        <f t="shared" si="70"/>
        <v/>
      </c>
      <c r="K949" s="20"/>
      <c r="L949" s="8" t="str">
        <f t="shared" si="71"/>
        <v/>
      </c>
      <c r="M949" s="9"/>
      <c r="N949" s="13" t="str">
        <f t="shared" si="72"/>
        <v/>
      </c>
      <c r="O949" s="22" t="str">
        <f t="shared" ca="1" si="73"/>
        <v/>
      </c>
      <c r="P949" s="17" t="str">
        <f t="shared" si="74"/>
        <v/>
      </c>
      <c r="Q949" s="11"/>
      <c r="R949" s="19"/>
      <c r="S949" s="19"/>
      <c r="U949">
        <f ca="1">IF(AND(ISNUMBER(O949),O949&lt;=設定!$C$4),1,0)</f>
        <v>0</v>
      </c>
      <c r="V949" t="str">
        <f ca="1">IF(U949=1,SUM($U$10:U949),"")</f>
        <v/>
      </c>
    </row>
    <row r="950" spans="2:22">
      <c r="B950" s="8" t="str">
        <f>IF(C950="","",COUNT($C$10:C950))</f>
        <v/>
      </c>
      <c r="C950" s="20"/>
      <c r="D950" s="11"/>
      <c r="E950" s="9"/>
      <c r="F950" s="21" t="str">
        <f>IF(E950="","",IFERROR(INDEX(食材マスタ!$D$10:$D$309,MATCH(E950,食材マスタ!$C$10:$C$309,0)),"※コード未登録"))</f>
        <v/>
      </c>
      <c r="G950" s="16"/>
      <c r="H950" s="8" t="str">
        <f>IF(E950="","",IFERROR(INDEX(食材マスタ!$H$10:$H$309,MATCH(E950,食材マスタ!$C$10:$C$309,0)),""))</f>
        <v/>
      </c>
      <c r="I950" s="15" t="str">
        <f>IF(E950="","",IFERROR(INDEX(食材マスタ!$K$10:$K$309,MATCH(E950,食材マスタ!$C$10:$C$309,0)),""))</f>
        <v/>
      </c>
      <c r="J950" s="15" t="str">
        <f t="shared" si="70"/>
        <v/>
      </c>
      <c r="K950" s="20"/>
      <c r="L950" s="8" t="str">
        <f t="shared" si="71"/>
        <v/>
      </c>
      <c r="M950" s="9"/>
      <c r="N950" s="13" t="str">
        <f t="shared" si="72"/>
        <v/>
      </c>
      <c r="O950" s="22" t="str">
        <f t="shared" ca="1" si="73"/>
        <v/>
      </c>
      <c r="P950" s="17" t="str">
        <f t="shared" si="74"/>
        <v/>
      </c>
      <c r="Q950" s="11"/>
      <c r="R950" s="19"/>
      <c r="S950" s="19"/>
      <c r="U950">
        <f ca="1">IF(AND(ISNUMBER(O950),O950&lt;=設定!$C$4),1,0)</f>
        <v>0</v>
      </c>
      <c r="V950" t="str">
        <f ca="1">IF(U950=1,SUM($U$10:U950),"")</f>
        <v/>
      </c>
    </row>
    <row r="951" spans="2:22">
      <c r="B951" s="8" t="str">
        <f>IF(C951="","",COUNT($C$10:C951))</f>
        <v/>
      </c>
      <c r="C951" s="20"/>
      <c r="D951" s="11"/>
      <c r="E951" s="9"/>
      <c r="F951" s="21" t="str">
        <f>IF(E951="","",IFERROR(INDEX(食材マスタ!$D$10:$D$309,MATCH(E951,食材マスタ!$C$10:$C$309,0)),"※コード未登録"))</f>
        <v/>
      </c>
      <c r="G951" s="16"/>
      <c r="H951" s="8" t="str">
        <f>IF(E951="","",IFERROR(INDEX(食材マスタ!$H$10:$H$309,MATCH(E951,食材マスタ!$C$10:$C$309,0)),""))</f>
        <v/>
      </c>
      <c r="I951" s="15" t="str">
        <f>IF(E951="","",IFERROR(INDEX(食材マスタ!$K$10:$K$309,MATCH(E951,食材マスタ!$C$10:$C$309,0)),""))</f>
        <v/>
      </c>
      <c r="J951" s="15" t="str">
        <f t="shared" si="70"/>
        <v/>
      </c>
      <c r="K951" s="20"/>
      <c r="L951" s="8" t="str">
        <f t="shared" si="71"/>
        <v/>
      </c>
      <c r="M951" s="9"/>
      <c r="N951" s="13" t="str">
        <f t="shared" si="72"/>
        <v/>
      </c>
      <c r="O951" s="22" t="str">
        <f t="shared" ca="1" si="73"/>
        <v/>
      </c>
      <c r="P951" s="17" t="str">
        <f t="shared" si="74"/>
        <v/>
      </c>
      <c r="Q951" s="11"/>
      <c r="R951" s="19"/>
      <c r="S951" s="19"/>
      <c r="U951">
        <f ca="1">IF(AND(ISNUMBER(O951),O951&lt;=設定!$C$4),1,0)</f>
        <v>0</v>
      </c>
      <c r="V951" t="str">
        <f ca="1">IF(U951=1,SUM($U$10:U951),"")</f>
        <v/>
      </c>
    </row>
    <row r="952" spans="2:22">
      <c r="B952" s="8" t="str">
        <f>IF(C952="","",COUNT($C$10:C952))</f>
        <v/>
      </c>
      <c r="C952" s="20"/>
      <c r="D952" s="11"/>
      <c r="E952" s="9"/>
      <c r="F952" s="21" t="str">
        <f>IF(E952="","",IFERROR(INDEX(食材マスタ!$D$10:$D$309,MATCH(E952,食材マスタ!$C$10:$C$309,0)),"※コード未登録"))</f>
        <v/>
      </c>
      <c r="G952" s="16"/>
      <c r="H952" s="8" t="str">
        <f>IF(E952="","",IFERROR(INDEX(食材マスタ!$H$10:$H$309,MATCH(E952,食材マスタ!$C$10:$C$309,0)),""))</f>
        <v/>
      </c>
      <c r="I952" s="15" t="str">
        <f>IF(E952="","",IFERROR(INDEX(食材マスタ!$K$10:$K$309,MATCH(E952,食材マスタ!$C$10:$C$309,0)),""))</f>
        <v/>
      </c>
      <c r="J952" s="15" t="str">
        <f t="shared" si="70"/>
        <v/>
      </c>
      <c r="K952" s="20"/>
      <c r="L952" s="8" t="str">
        <f t="shared" si="71"/>
        <v/>
      </c>
      <c r="M952" s="9"/>
      <c r="N952" s="13" t="str">
        <f t="shared" si="72"/>
        <v/>
      </c>
      <c r="O952" s="22" t="str">
        <f t="shared" ca="1" si="73"/>
        <v/>
      </c>
      <c r="P952" s="17" t="str">
        <f t="shared" si="74"/>
        <v/>
      </c>
      <c r="Q952" s="11"/>
      <c r="R952" s="19"/>
      <c r="S952" s="19"/>
      <c r="U952">
        <f ca="1">IF(AND(ISNUMBER(O952),O952&lt;=設定!$C$4),1,0)</f>
        <v>0</v>
      </c>
      <c r="V952" t="str">
        <f ca="1">IF(U952=1,SUM($U$10:U952),"")</f>
        <v/>
      </c>
    </row>
    <row r="953" spans="2:22">
      <c r="B953" s="8" t="str">
        <f>IF(C953="","",COUNT($C$10:C953))</f>
        <v/>
      </c>
      <c r="C953" s="20"/>
      <c r="D953" s="11"/>
      <c r="E953" s="9"/>
      <c r="F953" s="21" t="str">
        <f>IF(E953="","",IFERROR(INDEX(食材マスタ!$D$10:$D$309,MATCH(E953,食材マスタ!$C$10:$C$309,0)),"※コード未登録"))</f>
        <v/>
      </c>
      <c r="G953" s="16"/>
      <c r="H953" s="8" t="str">
        <f>IF(E953="","",IFERROR(INDEX(食材マスタ!$H$10:$H$309,MATCH(E953,食材マスタ!$C$10:$C$309,0)),""))</f>
        <v/>
      </c>
      <c r="I953" s="15" t="str">
        <f>IF(E953="","",IFERROR(INDEX(食材マスタ!$K$10:$K$309,MATCH(E953,食材マスタ!$C$10:$C$309,0)),""))</f>
        <v/>
      </c>
      <c r="J953" s="15" t="str">
        <f t="shared" si="70"/>
        <v/>
      </c>
      <c r="K953" s="20"/>
      <c r="L953" s="8" t="str">
        <f t="shared" si="71"/>
        <v/>
      </c>
      <c r="M953" s="9"/>
      <c r="N953" s="13" t="str">
        <f t="shared" si="72"/>
        <v/>
      </c>
      <c r="O953" s="22" t="str">
        <f t="shared" ca="1" si="73"/>
        <v/>
      </c>
      <c r="P953" s="17" t="str">
        <f t="shared" si="74"/>
        <v/>
      </c>
      <c r="Q953" s="11"/>
      <c r="R953" s="19"/>
      <c r="S953" s="19"/>
      <c r="U953">
        <f ca="1">IF(AND(ISNUMBER(O953),O953&lt;=設定!$C$4),1,0)</f>
        <v>0</v>
      </c>
      <c r="V953" t="str">
        <f ca="1">IF(U953=1,SUM($U$10:U953),"")</f>
        <v/>
      </c>
    </row>
    <row r="954" spans="2:22">
      <c r="B954" s="8" t="str">
        <f>IF(C954="","",COUNT($C$10:C954))</f>
        <v/>
      </c>
      <c r="C954" s="20"/>
      <c r="D954" s="11"/>
      <c r="E954" s="9"/>
      <c r="F954" s="21" t="str">
        <f>IF(E954="","",IFERROR(INDEX(食材マスタ!$D$10:$D$309,MATCH(E954,食材マスタ!$C$10:$C$309,0)),"※コード未登録"))</f>
        <v/>
      </c>
      <c r="G954" s="16"/>
      <c r="H954" s="8" t="str">
        <f>IF(E954="","",IFERROR(INDEX(食材マスタ!$H$10:$H$309,MATCH(E954,食材マスタ!$C$10:$C$309,0)),""))</f>
        <v/>
      </c>
      <c r="I954" s="15" t="str">
        <f>IF(E954="","",IFERROR(INDEX(食材マスタ!$K$10:$K$309,MATCH(E954,食材マスタ!$C$10:$C$309,0)),""))</f>
        <v/>
      </c>
      <c r="J954" s="15" t="str">
        <f t="shared" si="70"/>
        <v/>
      </c>
      <c r="K954" s="20"/>
      <c r="L954" s="8" t="str">
        <f t="shared" si="71"/>
        <v/>
      </c>
      <c r="M954" s="9"/>
      <c r="N954" s="13" t="str">
        <f t="shared" si="72"/>
        <v/>
      </c>
      <c r="O954" s="22" t="str">
        <f t="shared" ca="1" si="73"/>
        <v/>
      </c>
      <c r="P954" s="17" t="str">
        <f t="shared" si="74"/>
        <v/>
      </c>
      <c r="Q954" s="11"/>
      <c r="R954" s="19"/>
      <c r="S954" s="19"/>
      <c r="U954">
        <f ca="1">IF(AND(ISNUMBER(O954),O954&lt;=設定!$C$4),1,0)</f>
        <v>0</v>
      </c>
      <c r="V954" t="str">
        <f ca="1">IF(U954=1,SUM($U$10:U954),"")</f>
        <v/>
      </c>
    </row>
    <row r="955" spans="2:22">
      <c r="B955" s="8" t="str">
        <f>IF(C955="","",COUNT($C$10:C955))</f>
        <v/>
      </c>
      <c r="C955" s="20"/>
      <c r="D955" s="11"/>
      <c r="E955" s="9"/>
      <c r="F955" s="21" t="str">
        <f>IF(E955="","",IFERROR(INDEX(食材マスタ!$D$10:$D$309,MATCH(E955,食材マスタ!$C$10:$C$309,0)),"※コード未登録"))</f>
        <v/>
      </c>
      <c r="G955" s="16"/>
      <c r="H955" s="8" t="str">
        <f>IF(E955="","",IFERROR(INDEX(食材マスタ!$H$10:$H$309,MATCH(E955,食材マスタ!$C$10:$C$309,0)),""))</f>
        <v/>
      </c>
      <c r="I955" s="15" t="str">
        <f>IF(E955="","",IFERROR(INDEX(食材マスタ!$K$10:$K$309,MATCH(E955,食材マスタ!$C$10:$C$309,0)),""))</f>
        <v/>
      </c>
      <c r="J955" s="15" t="str">
        <f t="shared" si="70"/>
        <v/>
      </c>
      <c r="K955" s="20"/>
      <c r="L955" s="8" t="str">
        <f t="shared" si="71"/>
        <v/>
      </c>
      <c r="M955" s="9"/>
      <c r="N955" s="13" t="str">
        <f t="shared" si="72"/>
        <v/>
      </c>
      <c r="O955" s="22" t="str">
        <f t="shared" ca="1" si="73"/>
        <v/>
      </c>
      <c r="P955" s="17" t="str">
        <f t="shared" si="74"/>
        <v/>
      </c>
      <c r="Q955" s="11"/>
      <c r="R955" s="19"/>
      <c r="S955" s="19"/>
      <c r="U955">
        <f ca="1">IF(AND(ISNUMBER(O955),O955&lt;=設定!$C$4),1,0)</f>
        <v>0</v>
      </c>
      <c r="V955" t="str">
        <f ca="1">IF(U955=1,SUM($U$10:U955),"")</f>
        <v/>
      </c>
    </row>
    <row r="956" spans="2:22">
      <c r="B956" s="8" t="str">
        <f>IF(C956="","",COUNT($C$10:C956))</f>
        <v/>
      </c>
      <c r="C956" s="20"/>
      <c r="D956" s="11"/>
      <c r="E956" s="9"/>
      <c r="F956" s="21" t="str">
        <f>IF(E956="","",IFERROR(INDEX(食材マスタ!$D$10:$D$309,MATCH(E956,食材マスタ!$C$10:$C$309,0)),"※コード未登録"))</f>
        <v/>
      </c>
      <c r="G956" s="16"/>
      <c r="H956" s="8" t="str">
        <f>IF(E956="","",IFERROR(INDEX(食材マスタ!$H$10:$H$309,MATCH(E956,食材マスタ!$C$10:$C$309,0)),""))</f>
        <v/>
      </c>
      <c r="I956" s="15" t="str">
        <f>IF(E956="","",IFERROR(INDEX(食材マスタ!$K$10:$K$309,MATCH(E956,食材マスタ!$C$10:$C$309,0)),""))</f>
        <v/>
      </c>
      <c r="J956" s="15" t="str">
        <f t="shared" si="70"/>
        <v/>
      </c>
      <c r="K956" s="20"/>
      <c r="L956" s="8" t="str">
        <f t="shared" si="71"/>
        <v/>
      </c>
      <c r="M956" s="9"/>
      <c r="N956" s="13" t="str">
        <f t="shared" si="72"/>
        <v/>
      </c>
      <c r="O956" s="22" t="str">
        <f t="shared" ca="1" si="73"/>
        <v/>
      </c>
      <c r="P956" s="17" t="str">
        <f t="shared" si="74"/>
        <v/>
      </c>
      <c r="Q956" s="11"/>
      <c r="R956" s="19"/>
      <c r="S956" s="19"/>
      <c r="U956">
        <f ca="1">IF(AND(ISNUMBER(O956),O956&lt;=設定!$C$4),1,0)</f>
        <v>0</v>
      </c>
      <c r="V956" t="str">
        <f ca="1">IF(U956=1,SUM($U$10:U956),"")</f>
        <v/>
      </c>
    </row>
    <row r="957" spans="2:22">
      <c r="B957" s="8" t="str">
        <f>IF(C957="","",COUNT($C$10:C957))</f>
        <v/>
      </c>
      <c r="C957" s="20"/>
      <c r="D957" s="11"/>
      <c r="E957" s="9"/>
      <c r="F957" s="21" t="str">
        <f>IF(E957="","",IFERROR(INDEX(食材マスタ!$D$10:$D$309,MATCH(E957,食材マスタ!$C$10:$C$309,0)),"※コード未登録"))</f>
        <v/>
      </c>
      <c r="G957" s="16"/>
      <c r="H957" s="8" t="str">
        <f>IF(E957="","",IFERROR(INDEX(食材マスタ!$H$10:$H$309,MATCH(E957,食材マスタ!$C$10:$C$309,0)),""))</f>
        <v/>
      </c>
      <c r="I957" s="15" t="str">
        <f>IF(E957="","",IFERROR(INDEX(食材マスタ!$K$10:$K$309,MATCH(E957,食材マスタ!$C$10:$C$309,0)),""))</f>
        <v/>
      </c>
      <c r="J957" s="15" t="str">
        <f t="shared" si="70"/>
        <v/>
      </c>
      <c r="K957" s="20"/>
      <c r="L957" s="8" t="str">
        <f t="shared" si="71"/>
        <v/>
      </c>
      <c r="M957" s="9"/>
      <c r="N957" s="13" t="str">
        <f t="shared" si="72"/>
        <v/>
      </c>
      <c r="O957" s="22" t="str">
        <f t="shared" ca="1" si="73"/>
        <v/>
      </c>
      <c r="P957" s="17" t="str">
        <f t="shared" si="74"/>
        <v/>
      </c>
      <c r="Q957" s="11"/>
      <c r="R957" s="19"/>
      <c r="S957" s="19"/>
      <c r="U957">
        <f ca="1">IF(AND(ISNUMBER(O957),O957&lt;=設定!$C$4),1,0)</f>
        <v>0</v>
      </c>
      <c r="V957" t="str">
        <f ca="1">IF(U957=1,SUM($U$10:U957),"")</f>
        <v/>
      </c>
    </row>
    <row r="958" spans="2:22">
      <c r="B958" s="8" t="str">
        <f>IF(C958="","",COUNT($C$10:C958))</f>
        <v/>
      </c>
      <c r="C958" s="20"/>
      <c r="D958" s="11"/>
      <c r="E958" s="9"/>
      <c r="F958" s="21" t="str">
        <f>IF(E958="","",IFERROR(INDEX(食材マスタ!$D$10:$D$309,MATCH(E958,食材マスタ!$C$10:$C$309,0)),"※コード未登録"))</f>
        <v/>
      </c>
      <c r="G958" s="16"/>
      <c r="H958" s="8" t="str">
        <f>IF(E958="","",IFERROR(INDEX(食材マスタ!$H$10:$H$309,MATCH(E958,食材マスタ!$C$10:$C$309,0)),""))</f>
        <v/>
      </c>
      <c r="I958" s="15" t="str">
        <f>IF(E958="","",IFERROR(INDEX(食材マスタ!$K$10:$K$309,MATCH(E958,食材マスタ!$C$10:$C$309,0)),""))</f>
        <v/>
      </c>
      <c r="J958" s="15" t="str">
        <f t="shared" si="70"/>
        <v/>
      </c>
      <c r="K958" s="20"/>
      <c r="L958" s="8" t="str">
        <f t="shared" si="71"/>
        <v/>
      </c>
      <c r="M958" s="9"/>
      <c r="N958" s="13" t="str">
        <f t="shared" si="72"/>
        <v/>
      </c>
      <c r="O958" s="22" t="str">
        <f t="shared" ca="1" si="73"/>
        <v/>
      </c>
      <c r="P958" s="17" t="str">
        <f t="shared" si="74"/>
        <v/>
      </c>
      <c r="Q958" s="11"/>
      <c r="R958" s="19"/>
      <c r="S958" s="19"/>
      <c r="U958">
        <f ca="1">IF(AND(ISNUMBER(O958),O958&lt;=設定!$C$4),1,0)</f>
        <v>0</v>
      </c>
      <c r="V958" t="str">
        <f ca="1">IF(U958=1,SUM($U$10:U958),"")</f>
        <v/>
      </c>
    </row>
    <row r="959" spans="2:22">
      <c r="B959" s="8" t="str">
        <f>IF(C959="","",COUNT($C$10:C959))</f>
        <v/>
      </c>
      <c r="C959" s="20"/>
      <c r="D959" s="11"/>
      <c r="E959" s="9"/>
      <c r="F959" s="21" t="str">
        <f>IF(E959="","",IFERROR(INDEX(食材マスタ!$D$10:$D$309,MATCH(E959,食材マスタ!$C$10:$C$309,0)),"※コード未登録"))</f>
        <v/>
      </c>
      <c r="G959" s="16"/>
      <c r="H959" s="8" t="str">
        <f>IF(E959="","",IFERROR(INDEX(食材マスタ!$H$10:$H$309,MATCH(E959,食材マスタ!$C$10:$C$309,0)),""))</f>
        <v/>
      </c>
      <c r="I959" s="15" t="str">
        <f>IF(E959="","",IFERROR(INDEX(食材マスタ!$K$10:$K$309,MATCH(E959,食材マスタ!$C$10:$C$309,0)),""))</f>
        <v/>
      </c>
      <c r="J959" s="15" t="str">
        <f t="shared" si="70"/>
        <v/>
      </c>
      <c r="K959" s="20"/>
      <c r="L959" s="8" t="str">
        <f t="shared" si="71"/>
        <v/>
      </c>
      <c r="M959" s="9"/>
      <c r="N959" s="13" t="str">
        <f t="shared" si="72"/>
        <v/>
      </c>
      <c r="O959" s="22" t="str">
        <f t="shared" ca="1" si="73"/>
        <v/>
      </c>
      <c r="P959" s="17" t="str">
        <f t="shared" si="74"/>
        <v/>
      </c>
      <c r="Q959" s="11"/>
      <c r="R959" s="19"/>
      <c r="S959" s="19"/>
      <c r="U959">
        <f ca="1">IF(AND(ISNUMBER(O959),O959&lt;=設定!$C$4),1,0)</f>
        <v>0</v>
      </c>
      <c r="V959" t="str">
        <f ca="1">IF(U959=1,SUM($U$10:U959),"")</f>
        <v/>
      </c>
    </row>
    <row r="960" spans="2:22">
      <c r="B960" s="8" t="str">
        <f>IF(C960="","",COUNT($C$10:C960))</f>
        <v/>
      </c>
      <c r="C960" s="20"/>
      <c r="D960" s="11"/>
      <c r="E960" s="9"/>
      <c r="F960" s="21" t="str">
        <f>IF(E960="","",IFERROR(INDEX(食材マスタ!$D$10:$D$309,MATCH(E960,食材マスタ!$C$10:$C$309,0)),"※コード未登録"))</f>
        <v/>
      </c>
      <c r="G960" s="16"/>
      <c r="H960" s="8" t="str">
        <f>IF(E960="","",IFERROR(INDEX(食材マスタ!$H$10:$H$309,MATCH(E960,食材マスタ!$C$10:$C$309,0)),""))</f>
        <v/>
      </c>
      <c r="I960" s="15" t="str">
        <f>IF(E960="","",IFERROR(INDEX(食材マスタ!$K$10:$K$309,MATCH(E960,食材マスタ!$C$10:$C$309,0)),""))</f>
        <v/>
      </c>
      <c r="J960" s="15" t="str">
        <f t="shared" si="70"/>
        <v/>
      </c>
      <c r="K960" s="20"/>
      <c r="L960" s="8" t="str">
        <f t="shared" si="71"/>
        <v/>
      </c>
      <c r="M960" s="9"/>
      <c r="N960" s="13" t="str">
        <f t="shared" si="72"/>
        <v/>
      </c>
      <c r="O960" s="22" t="str">
        <f t="shared" ca="1" si="73"/>
        <v/>
      </c>
      <c r="P960" s="17" t="str">
        <f t="shared" si="74"/>
        <v/>
      </c>
      <c r="Q960" s="11"/>
      <c r="R960" s="19"/>
      <c r="S960" s="19"/>
      <c r="U960">
        <f ca="1">IF(AND(ISNUMBER(O960),O960&lt;=設定!$C$4),1,0)</f>
        <v>0</v>
      </c>
      <c r="V960" t="str">
        <f ca="1">IF(U960=1,SUM($U$10:U960),"")</f>
        <v/>
      </c>
    </row>
    <row r="961" spans="2:22">
      <c r="B961" s="8" t="str">
        <f>IF(C961="","",COUNT($C$10:C961))</f>
        <v/>
      </c>
      <c r="C961" s="20"/>
      <c r="D961" s="11"/>
      <c r="E961" s="9"/>
      <c r="F961" s="21" t="str">
        <f>IF(E961="","",IFERROR(INDEX(食材マスタ!$D$10:$D$309,MATCH(E961,食材マスタ!$C$10:$C$309,0)),"※コード未登録"))</f>
        <v/>
      </c>
      <c r="G961" s="16"/>
      <c r="H961" s="8" t="str">
        <f>IF(E961="","",IFERROR(INDEX(食材マスタ!$H$10:$H$309,MATCH(E961,食材マスタ!$C$10:$C$309,0)),""))</f>
        <v/>
      </c>
      <c r="I961" s="15" t="str">
        <f>IF(E961="","",IFERROR(INDEX(食材マスタ!$K$10:$K$309,MATCH(E961,食材マスタ!$C$10:$C$309,0)),""))</f>
        <v/>
      </c>
      <c r="J961" s="15" t="str">
        <f t="shared" si="70"/>
        <v/>
      </c>
      <c r="K961" s="20"/>
      <c r="L961" s="8" t="str">
        <f t="shared" si="71"/>
        <v/>
      </c>
      <c r="M961" s="9"/>
      <c r="N961" s="13" t="str">
        <f t="shared" si="72"/>
        <v/>
      </c>
      <c r="O961" s="22" t="str">
        <f t="shared" ca="1" si="73"/>
        <v/>
      </c>
      <c r="P961" s="17" t="str">
        <f t="shared" si="74"/>
        <v/>
      </c>
      <c r="Q961" s="11"/>
      <c r="R961" s="19"/>
      <c r="S961" s="19"/>
      <c r="U961">
        <f ca="1">IF(AND(ISNUMBER(O961),O961&lt;=設定!$C$4),1,0)</f>
        <v>0</v>
      </c>
      <c r="V961" t="str">
        <f ca="1">IF(U961=1,SUM($U$10:U961),"")</f>
        <v/>
      </c>
    </row>
    <row r="962" spans="2:22">
      <c r="B962" s="8" t="str">
        <f>IF(C962="","",COUNT($C$10:C962))</f>
        <v/>
      </c>
      <c r="C962" s="20"/>
      <c r="D962" s="11"/>
      <c r="E962" s="9"/>
      <c r="F962" s="21" t="str">
        <f>IF(E962="","",IFERROR(INDEX(食材マスタ!$D$10:$D$309,MATCH(E962,食材マスタ!$C$10:$C$309,0)),"※コード未登録"))</f>
        <v/>
      </c>
      <c r="G962" s="16"/>
      <c r="H962" s="8" t="str">
        <f>IF(E962="","",IFERROR(INDEX(食材マスタ!$H$10:$H$309,MATCH(E962,食材マスタ!$C$10:$C$309,0)),""))</f>
        <v/>
      </c>
      <c r="I962" s="15" t="str">
        <f>IF(E962="","",IFERROR(INDEX(食材マスタ!$K$10:$K$309,MATCH(E962,食材マスタ!$C$10:$C$309,0)),""))</f>
        <v/>
      </c>
      <c r="J962" s="15" t="str">
        <f t="shared" si="70"/>
        <v/>
      </c>
      <c r="K962" s="20"/>
      <c r="L962" s="8" t="str">
        <f t="shared" si="71"/>
        <v/>
      </c>
      <c r="M962" s="9"/>
      <c r="N962" s="13" t="str">
        <f t="shared" si="72"/>
        <v/>
      </c>
      <c r="O962" s="22" t="str">
        <f t="shared" ca="1" si="73"/>
        <v/>
      </c>
      <c r="P962" s="17" t="str">
        <f t="shared" si="74"/>
        <v/>
      </c>
      <c r="Q962" s="11"/>
      <c r="R962" s="19"/>
      <c r="S962" s="19"/>
      <c r="U962">
        <f ca="1">IF(AND(ISNUMBER(O962),O962&lt;=設定!$C$4),1,0)</f>
        <v>0</v>
      </c>
      <c r="V962" t="str">
        <f ca="1">IF(U962=1,SUM($U$10:U962),"")</f>
        <v/>
      </c>
    </row>
    <row r="963" spans="2:22">
      <c r="B963" s="8" t="str">
        <f>IF(C963="","",COUNT($C$10:C963))</f>
        <v/>
      </c>
      <c r="C963" s="20"/>
      <c r="D963" s="11"/>
      <c r="E963" s="9"/>
      <c r="F963" s="21" t="str">
        <f>IF(E963="","",IFERROR(INDEX(食材マスタ!$D$10:$D$309,MATCH(E963,食材マスタ!$C$10:$C$309,0)),"※コード未登録"))</f>
        <v/>
      </c>
      <c r="G963" s="16"/>
      <c r="H963" s="8" t="str">
        <f>IF(E963="","",IFERROR(INDEX(食材マスタ!$H$10:$H$309,MATCH(E963,食材マスタ!$C$10:$C$309,0)),""))</f>
        <v/>
      </c>
      <c r="I963" s="15" t="str">
        <f>IF(E963="","",IFERROR(INDEX(食材マスタ!$K$10:$K$309,MATCH(E963,食材マスタ!$C$10:$C$309,0)),""))</f>
        <v/>
      </c>
      <c r="J963" s="15" t="str">
        <f t="shared" si="70"/>
        <v/>
      </c>
      <c r="K963" s="20"/>
      <c r="L963" s="8" t="str">
        <f t="shared" si="71"/>
        <v/>
      </c>
      <c r="M963" s="9"/>
      <c r="N963" s="13" t="str">
        <f t="shared" si="72"/>
        <v/>
      </c>
      <c r="O963" s="22" t="str">
        <f t="shared" ca="1" si="73"/>
        <v/>
      </c>
      <c r="P963" s="17" t="str">
        <f t="shared" si="74"/>
        <v/>
      </c>
      <c r="Q963" s="11"/>
      <c r="R963" s="19"/>
      <c r="S963" s="19"/>
      <c r="U963">
        <f ca="1">IF(AND(ISNUMBER(O963),O963&lt;=設定!$C$4),1,0)</f>
        <v>0</v>
      </c>
      <c r="V963" t="str">
        <f ca="1">IF(U963=1,SUM($U$10:U963),"")</f>
        <v/>
      </c>
    </row>
    <row r="964" spans="2:22">
      <c r="B964" s="8" t="str">
        <f>IF(C964="","",COUNT($C$10:C964))</f>
        <v/>
      </c>
      <c r="C964" s="20"/>
      <c r="D964" s="11"/>
      <c r="E964" s="9"/>
      <c r="F964" s="21" t="str">
        <f>IF(E964="","",IFERROR(INDEX(食材マスタ!$D$10:$D$309,MATCH(E964,食材マスタ!$C$10:$C$309,0)),"※コード未登録"))</f>
        <v/>
      </c>
      <c r="G964" s="16"/>
      <c r="H964" s="8" t="str">
        <f>IF(E964="","",IFERROR(INDEX(食材マスタ!$H$10:$H$309,MATCH(E964,食材マスタ!$C$10:$C$309,0)),""))</f>
        <v/>
      </c>
      <c r="I964" s="15" t="str">
        <f>IF(E964="","",IFERROR(INDEX(食材マスタ!$K$10:$K$309,MATCH(E964,食材マスタ!$C$10:$C$309,0)),""))</f>
        <v/>
      </c>
      <c r="J964" s="15" t="str">
        <f t="shared" si="70"/>
        <v/>
      </c>
      <c r="K964" s="20"/>
      <c r="L964" s="8" t="str">
        <f t="shared" si="71"/>
        <v/>
      </c>
      <c r="M964" s="9"/>
      <c r="N964" s="13" t="str">
        <f t="shared" si="72"/>
        <v/>
      </c>
      <c r="O964" s="22" t="str">
        <f t="shared" ca="1" si="73"/>
        <v/>
      </c>
      <c r="P964" s="17" t="str">
        <f t="shared" si="74"/>
        <v/>
      </c>
      <c r="Q964" s="11"/>
      <c r="R964" s="19"/>
      <c r="S964" s="19"/>
      <c r="U964">
        <f ca="1">IF(AND(ISNUMBER(O964),O964&lt;=設定!$C$4),1,0)</f>
        <v>0</v>
      </c>
      <c r="V964" t="str">
        <f ca="1">IF(U964=1,SUM($U$10:U964),"")</f>
        <v/>
      </c>
    </row>
    <row r="965" spans="2:22">
      <c r="B965" s="8" t="str">
        <f>IF(C965="","",COUNT($C$10:C965))</f>
        <v/>
      </c>
      <c r="C965" s="20"/>
      <c r="D965" s="11"/>
      <c r="E965" s="9"/>
      <c r="F965" s="21" t="str">
        <f>IF(E965="","",IFERROR(INDEX(食材マスタ!$D$10:$D$309,MATCH(E965,食材マスタ!$C$10:$C$309,0)),"※コード未登録"))</f>
        <v/>
      </c>
      <c r="G965" s="16"/>
      <c r="H965" s="8" t="str">
        <f>IF(E965="","",IFERROR(INDEX(食材マスタ!$H$10:$H$309,MATCH(E965,食材マスタ!$C$10:$C$309,0)),""))</f>
        <v/>
      </c>
      <c r="I965" s="15" t="str">
        <f>IF(E965="","",IFERROR(INDEX(食材マスタ!$K$10:$K$309,MATCH(E965,食材マスタ!$C$10:$C$309,0)),""))</f>
        <v/>
      </c>
      <c r="J965" s="15" t="str">
        <f t="shared" si="70"/>
        <v/>
      </c>
      <c r="K965" s="20"/>
      <c r="L965" s="8" t="str">
        <f t="shared" si="71"/>
        <v/>
      </c>
      <c r="M965" s="9"/>
      <c r="N965" s="13" t="str">
        <f t="shared" si="72"/>
        <v/>
      </c>
      <c r="O965" s="22" t="str">
        <f t="shared" ca="1" si="73"/>
        <v/>
      </c>
      <c r="P965" s="17" t="str">
        <f t="shared" si="74"/>
        <v/>
      </c>
      <c r="Q965" s="11"/>
      <c r="R965" s="19"/>
      <c r="S965" s="19"/>
      <c r="U965">
        <f ca="1">IF(AND(ISNUMBER(O965),O965&lt;=設定!$C$4),1,0)</f>
        <v>0</v>
      </c>
      <c r="V965" t="str">
        <f ca="1">IF(U965=1,SUM($U$10:U965),"")</f>
        <v/>
      </c>
    </row>
    <row r="966" spans="2:22">
      <c r="B966" s="8" t="str">
        <f>IF(C966="","",COUNT($C$10:C966))</f>
        <v/>
      </c>
      <c r="C966" s="20"/>
      <c r="D966" s="11"/>
      <c r="E966" s="9"/>
      <c r="F966" s="21" t="str">
        <f>IF(E966="","",IFERROR(INDEX(食材マスタ!$D$10:$D$309,MATCH(E966,食材マスタ!$C$10:$C$309,0)),"※コード未登録"))</f>
        <v/>
      </c>
      <c r="G966" s="16"/>
      <c r="H966" s="8" t="str">
        <f>IF(E966="","",IFERROR(INDEX(食材マスタ!$H$10:$H$309,MATCH(E966,食材マスタ!$C$10:$C$309,0)),""))</f>
        <v/>
      </c>
      <c r="I966" s="15" t="str">
        <f>IF(E966="","",IFERROR(INDEX(食材マスタ!$K$10:$K$309,MATCH(E966,食材マスタ!$C$10:$C$309,0)),""))</f>
        <v/>
      </c>
      <c r="J966" s="15" t="str">
        <f t="shared" si="70"/>
        <v/>
      </c>
      <c r="K966" s="20"/>
      <c r="L966" s="8" t="str">
        <f t="shared" si="71"/>
        <v/>
      </c>
      <c r="M966" s="9"/>
      <c r="N966" s="13" t="str">
        <f t="shared" si="72"/>
        <v/>
      </c>
      <c r="O966" s="22" t="str">
        <f t="shared" ca="1" si="73"/>
        <v/>
      </c>
      <c r="P966" s="17" t="str">
        <f t="shared" si="74"/>
        <v/>
      </c>
      <c r="Q966" s="11"/>
      <c r="R966" s="19"/>
      <c r="S966" s="19"/>
      <c r="U966">
        <f ca="1">IF(AND(ISNUMBER(O966),O966&lt;=設定!$C$4),1,0)</f>
        <v>0</v>
      </c>
      <c r="V966" t="str">
        <f ca="1">IF(U966=1,SUM($U$10:U966),"")</f>
        <v/>
      </c>
    </row>
    <row r="967" spans="2:22">
      <c r="B967" s="8" t="str">
        <f>IF(C967="","",COUNT($C$10:C967))</f>
        <v/>
      </c>
      <c r="C967" s="20"/>
      <c r="D967" s="11"/>
      <c r="E967" s="9"/>
      <c r="F967" s="21" t="str">
        <f>IF(E967="","",IFERROR(INDEX(食材マスタ!$D$10:$D$309,MATCH(E967,食材マスタ!$C$10:$C$309,0)),"※コード未登録"))</f>
        <v/>
      </c>
      <c r="G967" s="16"/>
      <c r="H967" s="8" t="str">
        <f>IF(E967="","",IFERROR(INDEX(食材マスタ!$H$10:$H$309,MATCH(E967,食材マスタ!$C$10:$C$309,0)),""))</f>
        <v/>
      </c>
      <c r="I967" s="15" t="str">
        <f>IF(E967="","",IFERROR(INDEX(食材マスタ!$K$10:$K$309,MATCH(E967,食材マスタ!$C$10:$C$309,0)),""))</f>
        <v/>
      </c>
      <c r="J967" s="15" t="str">
        <f t="shared" si="70"/>
        <v/>
      </c>
      <c r="K967" s="20"/>
      <c r="L967" s="8" t="str">
        <f t="shared" si="71"/>
        <v/>
      </c>
      <c r="M967" s="9"/>
      <c r="N967" s="13" t="str">
        <f t="shared" si="72"/>
        <v/>
      </c>
      <c r="O967" s="22" t="str">
        <f t="shared" ca="1" si="73"/>
        <v/>
      </c>
      <c r="P967" s="17" t="str">
        <f t="shared" si="74"/>
        <v/>
      </c>
      <c r="Q967" s="11"/>
      <c r="R967" s="19"/>
      <c r="S967" s="19"/>
      <c r="U967">
        <f ca="1">IF(AND(ISNUMBER(O967),O967&lt;=設定!$C$4),1,0)</f>
        <v>0</v>
      </c>
      <c r="V967" t="str">
        <f ca="1">IF(U967=1,SUM($U$10:U967),"")</f>
        <v/>
      </c>
    </row>
    <row r="968" spans="2:22">
      <c r="B968" s="8" t="str">
        <f>IF(C968="","",COUNT($C$10:C968))</f>
        <v/>
      </c>
      <c r="C968" s="20"/>
      <c r="D968" s="11"/>
      <c r="E968" s="9"/>
      <c r="F968" s="21" t="str">
        <f>IF(E968="","",IFERROR(INDEX(食材マスタ!$D$10:$D$309,MATCH(E968,食材マスタ!$C$10:$C$309,0)),"※コード未登録"))</f>
        <v/>
      </c>
      <c r="G968" s="16"/>
      <c r="H968" s="8" t="str">
        <f>IF(E968="","",IFERROR(INDEX(食材マスタ!$H$10:$H$309,MATCH(E968,食材マスタ!$C$10:$C$309,0)),""))</f>
        <v/>
      </c>
      <c r="I968" s="15" t="str">
        <f>IF(E968="","",IFERROR(INDEX(食材マスタ!$K$10:$K$309,MATCH(E968,食材マスタ!$C$10:$C$309,0)),""))</f>
        <v/>
      </c>
      <c r="J968" s="15" t="str">
        <f t="shared" si="70"/>
        <v/>
      </c>
      <c r="K968" s="20"/>
      <c r="L968" s="8" t="str">
        <f t="shared" si="71"/>
        <v/>
      </c>
      <c r="M968" s="9"/>
      <c r="N968" s="13" t="str">
        <f t="shared" si="72"/>
        <v/>
      </c>
      <c r="O968" s="22" t="str">
        <f t="shared" ca="1" si="73"/>
        <v/>
      </c>
      <c r="P968" s="17" t="str">
        <f t="shared" si="74"/>
        <v/>
      </c>
      <c r="Q968" s="11"/>
      <c r="R968" s="19"/>
      <c r="S968" s="19"/>
      <c r="U968">
        <f ca="1">IF(AND(ISNUMBER(O968),O968&lt;=設定!$C$4),1,0)</f>
        <v>0</v>
      </c>
      <c r="V968" t="str">
        <f ca="1">IF(U968=1,SUM($U$10:U968),"")</f>
        <v/>
      </c>
    </row>
    <row r="969" spans="2:22">
      <c r="B969" s="8" t="str">
        <f>IF(C969="","",COUNT($C$10:C969))</f>
        <v/>
      </c>
      <c r="C969" s="20"/>
      <c r="D969" s="11"/>
      <c r="E969" s="9"/>
      <c r="F969" s="21" t="str">
        <f>IF(E969="","",IFERROR(INDEX(食材マスタ!$D$10:$D$309,MATCH(E969,食材マスタ!$C$10:$C$309,0)),"※コード未登録"))</f>
        <v/>
      </c>
      <c r="G969" s="16"/>
      <c r="H969" s="8" t="str">
        <f>IF(E969="","",IFERROR(INDEX(食材マスタ!$H$10:$H$309,MATCH(E969,食材マスタ!$C$10:$C$309,0)),""))</f>
        <v/>
      </c>
      <c r="I969" s="15" t="str">
        <f>IF(E969="","",IFERROR(INDEX(食材マスタ!$K$10:$K$309,MATCH(E969,食材マスタ!$C$10:$C$309,0)),""))</f>
        <v/>
      </c>
      <c r="J969" s="15" t="str">
        <f t="shared" si="70"/>
        <v/>
      </c>
      <c r="K969" s="20"/>
      <c r="L969" s="8" t="str">
        <f t="shared" si="71"/>
        <v/>
      </c>
      <c r="M969" s="9"/>
      <c r="N969" s="13" t="str">
        <f t="shared" si="72"/>
        <v/>
      </c>
      <c r="O969" s="22" t="str">
        <f t="shared" ca="1" si="73"/>
        <v/>
      </c>
      <c r="P969" s="17" t="str">
        <f t="shared" si="74"/>
        <v/>
      </c>
      <c r="Q969" s="11"/>
      <c r="R969" s="19"/>
      <c r="S969" s="19"/>
      <c r="U969">
        <f ca="1">IF(AND(ISNUMBER(O969),O969&lt;=設定!$C$4),1,0)</f>
        <v>0</v>
      </c>
      <c r="V969" t="str">
        <f ca="1">IF(U969=1,SUM($U$10:U969),"")</f>
        <v/>
      </c>
    </row>
    <row r="970" spans="2:22">
      <c r="B970" s="8" t="str">
        <f>IF(C970="","",COUNT($C$10:C970))</f>
        <v/>
      </c>
      <c r="C970" s="20"/>
      <c r="D970" s="11"/>
      <c r="E970" s="9"/>
      <c r="F970" s="21" t="str">
        <f>IF(E970="","",IFERROR(INDEX(食材マスタ!$D$10:$D$309,MATCH(E970,食材マスタ!$C$10:$C$309,0)),"※コード未登録"))</f>
        <v/>
      </c>
      <c r="G970" s="16"/>
      <c r="H970" s="8" t="str">
        <f>IF(E970="","",IFERROR(INDEX(食材マスタ!$H$10:$H$309,MATCH(E970,食材マスタ!$C$10:$C$309,0)),""))</f>
        <v/>
      </c>
      <c r="I970" s="15" t="str">
        <f>IF(E970="","",IFERROR(INDEX(食材マスタ!$K$10:$K$309,MATCH(E970,食材マスタ!$C$10:$C$309,0)),""))</f>
        <v/>
      </c>
      <c r="J970" s="15" t="str">
        <f t="shared" ref="J970:J1033" si="75">IF(OR(G970="",I970=""),"",ROUND(ABS(G970)*I970,0))</f>
        <v/>
      </c>
      <c r="K970" s="20"/>
      <c r="L970" s="8" t="str">
        <f t="shared" ref="L970:L1009" si="76">IF(AND(D970="入庫",E970&lt;&gt;""),E970&amp;"-"&amp;TEXT(ROW()-9,"0000"),"")</f>
        <v/>
      </c>
      <c r="M970" s="9"/>
      <c r="N970" s="13" t="str">
        <f t="shared" ref="N970:N1009" si="77">IF(L970="","",G970-SUMIFS($G$10:$G$1009,$M$10:$M$1009,L970,$D$10:$D$1009,"出庫")-SUMIFS($G$10:$G$1009,$M$10:$M$1009,L970,$D$10:$D$1009,"廃棄")+SUMIFS($G$10:$G$1009,$M$10:$M$1009,L970,$D$10:$D$1009,"棚卸調整"))</f>
        <v/>
      </c>
      <c r="O970" s="22" t="str">
        <f t="shared" ref="O970:O1033" ca="1" si="78">IF(OR(L970="",K970=""),"",IF(N970&lt;=0,"",K970-TODAY()))</f>
        <v/>
      </c>
      <c r="P970" s="17" t="str">
        <f t="shared" ref="P970:P1009" si="79">IF(E970="","",IF(F970="※コード未登録","コード未登録",IF(AND(OR(D970="出庫",D970="廃棄"),M970=""),"ロット未指定",IF(AND(M970&lt;&gt;"",LEFT(M970,LEN(E970)+1)&lt;&gt;E970&amp;"-"),"ロット違い",IF(AND(L970&lt;&gt;"",N970&lt;0),"ロット残マイナス","")))))</f>
        <v/>
      </c>
      <c r="Q970" s="11"/>
      <c r="R970" s="19"/>
      <c r="S970" s="19"/>
      <c r="U970">
        <f ca="1">IF(AND(ISNUMBER(O970),O970&lt;=設定!$C$4),1,0)</f>
        <v>0</v>
      </c>
      <c r="V970" t="str">
        <f ca="1">IF(U970=1,SUM($U$10:U970),"")</f>
        <v/>
      </c>
    </row>
    <row r="971" spans="2:22">
      <c r="B971" s="8" t="str">
        <f>IF(C971="","",COUNT($C$10:C971))</f>
        <v/>
      </c>
      <c r="C971" s="20"/>
      <c r="D971" s="11"/>
      <c r="E971" s="9"/>
      <c r="F971" s="21" t="str">
        <f>IF(E971="","",IFERROR(INDEX(食材マスタ!$D$10:$D$309,MATCH(E971,食材マスタ!$C$10:$C$309,0)),"※コード未登録"))</f>
        <v/>
      </c>
      <c r="G971" s="16"/>
      <c r="H971" s="8" t="str">
        <f>IF(E971="","",IFERROR(INDEX(食材マスタ!$H$10:$H$309,MATCH(E971,食材マスタ!$C$10:$C$309,0)),""))</f>
        <v/>
      </c>
      <c r="I971" s="15" t="str">
        <f>IF(E971="","",IFERROR(INDEX(食材マスタ!$K$10:$K$309,MATCH(E971,食材マスタ!$C$10:$C$309,0)),""))</f>
        <v/>
      </c>
      <c r="J971" s="15" t="str">
        <f t="shared" si="75"/>
        <v/>
      </c>
      <c r="K971" s="20"/>
      <c r="L971" s="8" t="str">
        <f t="shared" si="76"/>
        <v/>
      </c>
      <c r="M971" s="9"/>
      <c r="N971" s="13" t="str">
        <f t="shared" si="77"/>
        <v/>
      </c>
      <c r="O971" s="22" t="str">
        <f t="shared" ca="1" si="78"/>
        <v/>
      </c>
      <c r="P971" s="17" t="str">
        <f t="shared" si="79"/>
        <v/>
      </c>
      <c r="Q971" s="11"/>
      <c r="R971" s="19"/>
      <c r="S971" s="19"/>
      <c r="U971">
        <f ca="1">IF(AND(ISNUMBER(O971),O971&lt;=設定!$C$4),1,0)</f>
        <v>0</v>
      </c>
      <c r="V971" t="str">
        <f ca="1">IF(U971=1,SUM($U$10:U971),"")</f>
        <v/>
      </c>
    </row>
    <row r="972" spans="2:22">
      <c r="B972" s="8" t="str">
        <f>IF(C972="","",COUNT($C$10:C972))</f>
        <v/>
      </c>
      <c r="C972" s="20"/>
      <c r="D972" s="11"/>
      <c r="E972" s="9"/>
      <c r="F972" s="21" t="str">
        <f>IF(E972="","",IFERROR(INDEX(食材マスタ!$D$10:$D$309,MATCH(E972,食材マスタ!$C$10:$C$309,0)),"※コード未登録"))</f>
        <v/>
      </c>
      <c r="G972" s="16"/>
      <c r="H972" s="8" t="str">
        <f>IF(E972="","",IFERROR(INDEX(食材マスタ!$H$10:$H$309,MATCH(E972,食材マスタ!$C$10:$C$309,0)),""))</f>
        <v/>
      </c>
      <c r="I972" s="15" t="str">
        <f>IF(E972="","",IFERROR(INDEX(食材マスタ!$K$10:$K$309,MATCH(E972,食材マスタ!$C$10:$C$309,0)),""))</f>
        <v/>
      </c>
      <c r="J972" s="15" t="str">
        <f t="shared" si="75"/>
        <v/>
      </c>
      <c r="K972" s="20"/>
      <c r="L972" s="8" t="str">
        <f t="shared" si="76"/>
        <v/>
      </c>
      <c r="M972" s="9"/>
      <c r="N972" s="13" t="str">
        <f t="shared" si="77"/>
        <v/>
      </c>
      <c r="O972" s="22" t="str">
        <f t="shared" ca="1" si="78"/>
        <v/>
      </c>
      <c r="P972" s="17" t="str">
        <f t="shared" si="79"/>
        <v/>
      </c>
      <c r="Q972" s="11"/>
      <c r="R972" s="19"/>
      <c r="S972" s="19"/>
      <c r="U972">
        <f ca="1">IF(AND(ISNUMBER(O972),O972&lt;=設定!$C$4),1,0)</f>
        <v>0</v>
      </c>
      <c r="V972" t="str">
        <f ca="1">IF(U972=1,SUM($U$10:U972),"")</f>
        <v/>
      </c>
    </row>
    <row r="973" spans="2:22">
      <c r="B973" s="8" t="str">
        <f>IF(C973="","",COUNT($C$10:C973))</f>
        <v/>
      </c>
      <c r="C973" s="20"/>
      <c r="D973" s="11"/>
      <c r="E973" s="9"/>
      <c r="F973" s="21" t="str">
        <f>IF(E973="","",IFERROR(INDEX(食材マスタ!$D$10:$D$309,MATCH(E973,食材マスタ!$C$10:$C$309,0)),"※コード未登録"))</f>
        <v/>
      </c>
      <c r="G973" s="16"/>
      <c r="H973" s="8" t="str">
        <f>IF(E973="","",IFERROR(INDEX(食材マスタ!$H$10:$H$309,MATCH(E973,食材マスタ!$C$10:$C$309,0)),""))</f>
        <v/>
      </c>
      <c r="I973" s="15" t="str">
        <f>IF(E973="","",IFERROR(INDEX(食材マスタ!$K$10:$K$309,MATCH(E973,食材マスタ!$C$10:$C$309,0)),""))</f>
        <v/>
      </c>
      <c r="J973" s="15" t="str">
        <f t="shared" si="75"/>
        <v/>
      </c>
      <c r="K973" s="20"/>
      <c r="L973" s="8" t="str">
        <f t="shared" si="76"/>
        <v/>
      </c>
      <c r="M973" s="9"/>
      <c r="N973" s="13" t="str">
        <f t="shared" si="77"/>
        <v/>
      </c>
      <c r="O973" s="22" t="str">
        <f t="shared" ca="1" si="78"/>
        <v/>
      </c>
      <c r="P973" s="17" t="str">
        <f t="shared" si="79"/>
        <v/>
      </c>
      <c r="Q973" s="11"/>
      <c r="R973" s="19"/>
      <c r="S973" s="19"/>
      <c r="U973">
        <f ca="1">IF(AND(ISNUMBER(O973),O973&lt;=設定!$C$4),1,0)</f>
        <v>0</v>
      </c>
      <c r="V973" t="str">
        <f ca="1">IF(U973=1,SUM($U$10:U973),"")</f>
        <v/>
      </c>
    </row>
    <row r="974" spans="2:22">
      <c r="B974" s="8" t="str">
        <f>IF(C974="","",COUNT($C$10:C974))</f>
        <v/>
      </c>
      <c r="C974" s="20"/>
      <c r="D974" s="11"/>
      <c r="E974" s="9"/>
      <c r="F974" s="21" t="str">
        <f>IF(E974="","",IFERROR(INDEX(食材マスタ!$D$10:$D$309,MATCH(E974,食材マスタ!$C$10:$C$309,0)),"※コード未登録"))</f>
        <v/>
      </c>
      <c r="G974" s="16"/>
      <c r="H974" s="8" t="str">
        <f>IF(E974="","",IFERROR(INDEX(食材マスタ!$H$10:$H$309,MATCH(E974,食材マスタ!$C$10:$C$309,0)),""))</f>
        <v/>
      </c>
      <c r="I974" s="15" t="str">
        <f>IF(E974="","",IFERROR(INDEX(食材マスタ!$K$10:$K$309,MATCH(E974,食材マスタ!$C$10:$C$309,0)),""))</f>
        <v/>
      </c>
      <c r="J974" s="15" t="str">
        <f t="shared" si="75"/>
        <v/>
      </c>
      <c r="K974" s="20"/>
      <c r="L974" s="8" t="str">
        <f t="shared" si="76"/>
        <v/>
      </c>
      <c r="M974" s="9"/>
      <c r="N974" s="13" t="str">
        <f t="shared" si="77"/>
        <v/>
      </c>
      <c r="O974" s="22" t="str">
        <f t="shared" ca="1" si="78"/>
        <v/>
      </c>
      <c r="P974" s="17" t="str">
        <f t="shared" si="79"/>
        <v/>
      </c>
      <c r="Q974" s="11"/>
      <c r="R974" s="19"/>
      <c r="S974" s="19"/>
      <c r="U974">
        <f ca="1">IF(AND(ISNUMBER(O974),O974&lt;=設定!$C$4),1,0)</f>
        <v>0</v>
      </c>
      <c r="V974" t="str">
        <f ca="1">IF(U974=1,SUM($U$10:U974),"")</f>
        <v/>
      </c>
    </row>
    <row r="975" spans="2:22">
      <c r="B975" s="8" t="str">
        <f>IF(C975="","",COUNT($C$10:C975))</f>
        <v/>
      </c>
      <c r="C975" s="20"/>
      <c r="D975" s="11"/>
      <c r="E975" s="9"/>
      <c r="F975" s="21" t="str">
        <f>IF(E975="","",IFERROR(INDEX(食材マスタ!$D$10:$D$309,MATCH(E975,食材マスタ!$C$10:$C$309,0)),"※コード未登録"))</f>
        <v/>
      </c>
      <c r="G975" s="16"/>
      <c r="H975" s="8" t="str">
        <f>IF(E975="","",IFERROR(INDEX(食材マスタ!$H$10:$H$309,MATCH(E975,食材マスタ!$C$10:$C$309,0)),""))</f>
        <v/>
      </c>
      <c r="I975" s="15" t="str">
        <f>IF(E975="","",IFERROR(INDEX(食材マスタ!$K$10:$K$309,MATCH(E975,食材マスタ!$C$10:$C$309,0)),""))</f>
        <v/>
      </c>
      <c r="J975" s="15" t="str">
        <f t="shared" si="75"/>
        <v/>
      </c>
      <c r="K975" s="20"/>
      <c r="L975" s="8" t="str">
        <f t="shared" si="76"/>
        <v/>
      </c>
      <c r="M975" s="9"/>
      <c r="N975" s="13" t="str">
        <f t="shared" si="77"/>
        <v/>
      </c>
      <c r="O975" s="22" t="str">
        <f t="shared" ca="1" si="78"/>
        <v/>
      </c>
      <c r="P975" s="17" t="str">
        <f t="shared" si="79"/>
        <v/>
      </c>
      <c r="Q975" s="11"/>
      <c r="R975" s="19"/>
      <c r="S975" s="19"/>
      <c r="U975">
        <f ca="1">IF(AND(ISNUMBER(O975),O975&lt;=設定!$C$4),1,0)</f>
        <v>0</v>
      </c>
      <c r="V975" t="str">
        <f ca="1">IF(U975=1,SUM($U$10:U975),"")</f>
        <v/>
      </c>
    </row>
    <row r="976" spans="2:22">
      <c r="B976" s="8" t="str">
        <f>IF(C976="","",COUNT($C$10:C976))</f>
        <v/>
      </c>
      <c r="C976" s="20"/>
      <c r="D976" s="11"/>
      <c r="E976" s="9"/>
      <c r="F976" s="21" t="str">
        <f>IF(E976="","",IFERROR(INDEX(食材マスタ!$D$10:$D$309,MATCH(E976,食材マスタ!$C$10:$C$309,0)),"※コード未登録"))</f>
        <v/>
      </c>
      <c r="G976" s="16"/>
      <c r="H976" s="8" t="str">
        <f>IF(E976="","",IFERROR(INDEX(食材マスタ!$H$10:$H$309,MATCH(E976,食材マスタ!$C$10:$C$309,0)),""))</f>
        <v/>
      </c>
      <c r="I976" s="15" t="str">
        <f>IF(E976="","",IFERROR(INDEX(食材マスタ!$K$10:$K$309,MATCH(E976,食材マスタ!$C$10:$C$309,0)),""))</f>
        <v/>
      </c>
      <c r="J976" s="15" t="str">
        <f t="shared" si="75"/>
        <v/>
      </c>
      <c r="K976" s="20"/>
      <c r="L976" s="8" t="str">
        <f t="shared" si="76"/>
        <v/>
      </c>
      <c r="M976" s="9"/>
      <c r="N976" s="13" t="str">
        <f t="shared" si="77"/>
        <v/>
      </c>
      <c r="O976" s="22" t="str">
        <f t="shared" ca="1" si="78"/>
        <v/>
      </c>
      <c r="P976" s="17" t="str">
        <f t="shared" si="79"/>
        <v/>
      </c>
      <c r="Q976" s="11"/>
      <c r="R976" s="19"/>
      <c r="S976" s="19"/>
      <c r="U976">
        <f ca="1">IF(AND(ISNUMBER(O976),O976&lt;=設定!$C$4),1,0)</f>
        <v>0</v>
      </c>
      <c r="V976" t="str">
        <f ca="1">IF(U976=1,SUM($U$10:U976),"")</f>
        <v/>
      </c>
    </row>
    <row r="977" spans="2:22">
      <c r="B977" s="8" t="str">
        <f>IF(C977="","",COUNT($C$10:C977))</f>
        <v/>
      </c>
      <c r="C977" s="20"/>
      <c r="D977" s="11"/>
      <c r="E977" s="9"/>
      <c r="F977" s="21" t="str">
        <f>IF(E977="","",IFERROR(INDEX(食材マスタ!$D$10:$D$309,MATCH(E977,食材マスタ!$C$10:$C$309,0)),"※コード未登録"))</f>
        <v/>
      </c>
      <c r="G977" s="16"/>
      <c r="H977" s="8" t="str">
        <f>IF(E977="","",IFERROR(INDEX(食材マスタ!$H$10:$H$309,MATCH(E977,食材マスタ!$C$10:$C$309,0)),""))</f>
        <v/>
      </c>
      <c r="I977" s="15" t="str">
        <f>IF(E977="","",IFERROR(INDEX(食材マスタ!$K$10:$K$309,MATCH(E977,食材マスタ!$C$10:$C$309,0)),""))</f>
        <v/>
      </c>
      <c r="J977" s="15" t="str">
        <f t="shared" si="75"/>
        <v/>
      </c>
      <c r="K977" s="20"/>
      <c r="L977" s="8" t="str">
        <f t="shared" si="76"/>
        <v/>
      </c>
      <c r="M977" s="9"/>
      <c r="N977" s="13" t="str">
        <f t="shared" si="77"/>
        <v/>
      </c>
      <c r="O977" s="22" t="str">
        <f t="shared" ca="1" si="78"/>
        <v/>
      </c>
      <c r="P977" s="17" t="str">
        <f t="shared" si="79"/>
        <v/>
      </c>
      <c r="Q977" s="11"/>
      <c r="R977" s="19"/>
      <c r="S977" s="19"/>
      <c r="U977">
        <f ca="1">IF(AND(ISNUMBER(O977),O977&lt;=設定!$C$4),1,0)</f>
        <v>0</v>
      </c>
      <c r="V977" t="str">
        <f ca="1">IF(U977=1,SUM($U$10:U977),"")</f>
        <v/>
      </c>
    </row>
    <row r="978" spans="2:22">
      <c r="B978" s="8" t="str">
        <f>IF(C978="","",COUNT($C$10:C978))</f>
        <v/>
      </c>
      <c r="C978" s="20"/>
      <c r="D978" s="11"/>
      <c r="E978" s="9"/>
      <c r="F978" s="21" t="str">
        <f>IF(E978="","",IFERROR(INDEX(食材マスタ!$D$10:$D$309,MATCH(E978,食材マスタ!$C$10:$C$309,0)),"※コード未登録"))</f>
        <v/>
      </c>
      <c r="G978" s="16"/>
      <c r="H978" s="8" t="str">
        <f>IF(E978="","",IFERROR(INDEX(食材マスタ!$H$10:$H$309,MATCH(E978,食材マスタ!$C$10:$C$309,0)),""))</f>
        <v/>
      </c>
      <c r="I978" s="15" t="str">
        <f>IF(E978="","",IFERROR(INDEX(食材マスタ!$K$10:$K$309,MATCH(E978,食材マスタ!$C$10:$C$309,0)),""))</f>
        <v/>
      </c>
      <c r="J978" s="15" t="str">
        <f t="shared" si="75"/>
        <v/>
      </c>
      <c r="K978" s="20"/>
      <c r="L978" s="8" t="str">
        <f t="shared" si="76"/>
        <v/>
      </c>
      <c r="M978" s="9"/>
      <c r="N978" s="13" t="str">
        <f t="shared" si="77"/>
        <v/>
      </c>
      <c r="O978" s="22" t="str">
        <f t="shared" ca="1" si="78"/>
        <v/>
      </c>
      <c r="P978" s="17" t="str">
        <f t="shared" si="79"/>
        <v/>
      </c>
      <c r="Q978" s="11"/>
      <c r="R978" s="19"/>
      <c r="S978" s="19"/>
      <c r="U978">
        <f ca="1">IF(AND(ISNUMBER(O978),O978&lt;=設定!$C$4),1,0)</f>
        <v>0</v>
      </c>
      <c r="V978" t="str">
        <f ca="1">IF(U978=1,SUM($U$10:U978),"")</f>
        <v/>
      </c>
    </row>
    <row r="979" spans="2:22">
      <c r="B979" s="8" t="str">
        <f>IF(C979="","",COUNT($C$10:C979))</f>
        <v/>
      </c>
      <c r="C979" s="20"/>
      <c r="D979" s="11"/>
      <c r="E979" s="9"/>
      <c r="F979" s="21" t="str">
        <f>IF(E979="","",IFERROR(INDEX(食材マスタ!$D$10:$D$309,MATCH(E979,食材マスタ!$C$10:$C$309,0)),"※コード未登録"))</f>
        <v/>
      </c>
      <c r="G979" s="16"/>
      <c r="H979" s="8" t="str">
        <f>IF(E979="","",IFERROR(INDEX(食材マスタ!$H$10:$H$309,MATCH(E979,食材マスタ!$C$10:$C$309,0)),""))</f>
        <v/>
      </c>
      <c r="I979" s="15" t="str">
        <f>IF(E979="","",IFERROR(INDEX(食材マスタ!$K$10:$K$309,MATCH(E979,食材マスタ!$C$10:$C$309,0)),""))</f>
        <v/>
      </c>
      <c r="J979" s="15" t="str">
        <f t="shared" si="75"/>
        <v/>
      </c>
      <c r="K979" s="20"/>
      <c r="L979" s="8" t="str">
        <f t="shared" si="76"/>
        <v/>
      </c>
      <c r="M979" s="9"/>
      <c r="N979" s="13" t="str">
        <f t="shared" si="77"/>
        <v/>
      </c>
      <c r="O979" s="22" t="str">
        <f t="shared" ca="1" si="78"/>
        <v/>
      </c>
      <c r="P979" s="17" t="str">
        <f t="shared" si="79"/>
        <v/>
      </c>
      <c r="Q979" s="11"/>
      <c r="R979" s="19"/>
      <c r="S979" s="19"/>
      <c r="U979">
        <f ca="1">IF(AND(ISNUMBER(O979),O979&lt;=設定!$C$4),1,0)</f>
        <v>0</v>
      </c>
      <c r="V979" t="str">
        <f ca="1">IF(U979=1,SUM($U$10:U979),"")</f>
        <v/>
      </c>
    </row>
    <row r="980" spans="2:22">
      <c r="B980" s="8" t="str">
        <f>IF(C980="","",COUNT($C$10:C980))</f>
        <v/>
      </c>
      <c r="C980" s="20"/>
      <c r="D980" s="11"/>
      <c r="E980" s="9"/>
      <c r="F980" s="21" t="str">
        <f>IF(E980="","",IFERROR(INDEX(食材マスタ!$D$10:$D$309,MATCH(E980,食材マスタ!$C$10:$C$309,0)),"※コード未登録"))</f>
        <v/>
      </c>
      <c r="G980" s="16"/>
      <c r="H980" s="8" t="str">
        <f>IF(E980="","",IFERROR(INDEX(食材マスタ!$H$10:$H$309,MATCH(E980,食材マスタ!$C$10:$C$309,0)),""))</f>
        <v/>
      </c>
      <c r="I980" s="15" t="str">
        <f>IF(E980="","",IFERROR(INDEX(食材マスタ!$K$10:$K$309,MATCH(E980,食材マスタ!$C$10:$C$309,0)),""))</f>
        <v/>
      </c>
      <c r="J980" s="15" t="str">
        <f t="shared" si="75"/>
        <v/>
      </c>
      <c r="K980" s="20"/>
      <c r="L980" s="8" t="str">
        <f t="shared" si="76"/>
        <v/>
      </c>
      <c r="M980" s="9"/>
      <c r="N980" s="13" t="str">
        <f t="shared" si="77"/>
        <v/>
      </c>
      <c r="O980" s="22" t="str">
        <f t="shared" ca="1" si="78"/>
        <v/>
      </c>
      <c r="P980" s="17" t="str">
        <f t="shared" si="79"/>
        <v/>
      </c>
      <c r="Q980" s="11"/>
      <c r="R980" s="19"/>
      <c r="S980" s="19"/>
      <c r="U980">
        <f ca="1">IF(AND(ISNUMBER(O980),O980&lt;=設定!$C$4),1,0)</f>
        <v>0</v>
      </c>
      <c r="V980" t="str">
        <f ca="1">IF(U980=1,SUM($U$10:U980),"")</f>
        <v/>
      </c>
    </row>
    <row r="981" spans="2:22">
      <c r="B981" s="8" t="str">
        <f>IF(C981="","",COUNT($C$10:C981))</f>
        <v/>
      </c>
      <c r="C981" s="20"/>
      <c r="D981" s="11"/>
      <c r="E981" s="9"/>
      <c r="F981" s="21" t="str">
        <f>IF(E981="","",IFERROR(INDEX(食材マスタ!$D$10:$D$309,MATCH(E981,食材マスタ!$C$10:$C$309,0)),"※コード未登録"))</f>
        <v/>
      </c>
      <c r="G981" s="16"/>
      <c r="H981" s="8" t="str">
        <f>IF(E981="","",IFERROR(INDEX(食材マスタ!$H$10:$H$309,MATCH(E981,食材マスタ!$C$10:$C$309,0)),""))</f>
        <v/>
      </c>
      <c r="I981" s="15" t="str">
        <f>IF(E981="","",IFERROR(INDEX(食材マスタ!$K$10:$K$309,MATCH(E981,食材マスタ!$C$10:$C$309,0)),""))</f>
        <v/>
      </c>
      <c r="J981" s="15" t="str">
        <f t="shared" si="75"/>
        <v/>
      </c>
      <c r="K981" s="20"/>
      <c r="L981" s="8" t="str">
        <f t="shared" si="76"/>
        <v/>
      </c>
      <c r="M981" s="9"/>
      <c r="N981" s="13" t="str">
        <f t="shared" si="77"/>
        <v/>
      </c>
      <c r="O981" s="22" t="str">
        <f t="shared" ca="1" si="78"/>
        <v/>
      </c>
      <c r="P981" s="17" t="str">
        <f t="shared" si="79"/>
        <v/>
      </c>
      <c r="Q981" s="11"/>
      <c r="R981" s="19"/>
      <c r="S981" s="19"/>
      <c r="U981">
        <f ca="1">IF(AND(ISNUMBER(O981),O981&lt;=設定!$C$4),1,0)</f>
        <v>0</v>
      </c>
      <c r="V981" t="str">
        <f ca="1">IF(U981=1,SUM($U$10:U981),"")</f>
        <v/>
      </c>
    </row>
    <row r="982" spans="2:22">
      <c r="B982" s="8" t="str">
        <f>IF(C982="","",COUNT($C$10:C982))</f>
        <v/>
      </c>
      <c r="C982" s="20"/>
      <c r="D982" s="11"/>
      <c r="E982" s="9"/>
      <c r="F982" s="21" t="str">
        <f>IF(E982="","",IFERROR(INDEX(食材マスタ!$D$10:$D$309,MATCH(E982,食材マスタ!$C$10:$C$309,0)),"※コード未登録"))</f>
        <v/>
      </c>
      <c r="G982" s="16"/>
      <c r="H982" s="8" t="str">
        <f>IF(E982="","",IFERROR(INDEX(食材マスタ!$H$10:$H$309,MATCH(E982,食材マスタ!$C$10:$C$309,0)),""))</f>
        <v/>
      </c>
      <c r="I982" s="15" t="str">
        <f>IF(E982="","",IFERROR(INDEX(食材マスタ!$K$10:$K$309,MATCH(E982,食材マスタ!$C$10:$C$309,0)),""))</f>
        <v/>
      </c>
      <c r="J982" s="15" t="str">
        <f t="shared" si="75"/>
        <v/>
      </c>
      <c r="K982" s="20"/>
      <c r="L982" s="8" t="str">
        <f t="shared" si="76"/>
        <v/>
      </c>
      <c r="M982" s="9"/>
      <c r="N982" s="13" t="str">
        <f t="shared" si="77"/>
        <v/>
      </c>
      <c r="O982" s="22" t="str">
        <f t="shared" ca="1" si="78"/>
        <v/>
      </c>
      <c r="P982" s="17" t="str">
        <f t="shared" si="79"/>
        <v/>
      </c>
      <c r="Q982" s="11"/>
      <c r="R982" s="19"/>
      <c r="S982" s="19"/>
      <c r="U982">
        <f ca="1">IF(AND(ISNUMBER(O982),O982&lt;=設定!$C$4),1,0)</f>
        <v>0</v>
      </c>
      <c r="V982" t="str">
        <f ca="1">IF(U982=1,SUM($U$10:U982),"")</f>
        <v/>
      </c>
    </row>
    <row r="983" spans="2:22">
      <c r="B983" s="8" t="str">
        <f>IF(C983="","",COUNT($C$10:C983))</f>
        <v/>
      </c>
      <c r="C983" s="20"/>
      <c r="D983" s="11"/>
      <c r="E983" s="9"/>
      <c r="F983" s="21" t="str">
        <f>IF(E983="","",IFERROR(INDEX(食材マスタ!$D$10:$D$309,MATCH(E983,食材マスタ!$C$10:$C$309,0)),"※コード未登録"))</f>
        <v/>
      </c>
      <c r="G983" s="16"/>
      <c r="H983" s="8" t="str">
        <f>IF(E983="","",IFERROR(INDEX(食材マスタ!$H$10:$H$309,MATCH(E983,食材マスタ!$C$10:$C$309,0)),""))</f>
        <v/>
      </c>
      <c r="I983" s="15" t="str">
        <f>IF(E983="","",IFERROR(INDEX(食材マスタ!$K$10:$K$309,MATCH(E983,食材マスタ!$C$10:$C$309,0)),""))</f>
        <v/>
      </c>
      <c r="J983" s="15" t="str">
        <f t="shared" si="75"/>
        <v/>
      </c>
      <c r="K983" s="20"/>
      <c r="L983" s="8" t="str">
        <f t="shared" si="76"/>
        <v/>
      </c>
      <c r="M983" s="9"/>
      <c r="N983" s="13" t="str">
        <f t="shared" si="77"/>
        <v/>
      </c>
      <c r="O983" s="22" t="str">
        <f t="shared" ca="1" si="78"/>
        <v/>
      </c>
      <c r="P983" s="17" t="str">
        <f t="shared" si="79"/>
        <v/>
      </c>
      <c r="Q983" s="11"/>
      <c r="R983" s="19"/>
      <c r="S983" s="19"/>
      <c r="U983">
        <f ca="1">IF(AND(ISNUMBER(O983),O983&lt;=設定!$C$4),1,0)</f>
        <v>0</v>
      </c>
      <c r="V983" t="str">
        <f ca="1">IF(U983=1,SUM($U$10:U983),"")</f>
        <v/>
      </c>
    </row>
    <row r="984" spans="2:22">
      <c r="B984" s="8" t="str">
        <f>IF(C984="","",COUNT($C$10:C984))</f>
        <v/>
      </c>
      <c r="C984" s="20"/>
      <c r="D984" s="11"/>
      <c r="E984" s="9"/>
      <c r="F984" s="21" t="str">
        <f>IF(E984="","",IFERROR(INDEX(食材マスタ!$D$10:$D$309,MATCH(E984,食材マスタ!$C$10:$C$309,0)),"※コード未登録"))</f>
        <v/>
      </c>
      <c r="G984" s="16"/>
      <c r="H984" s="8" t="str">
        <f>IF(E984="","",IFERROR(INDEX(食材マスタ!$H$10:$H$309,MATCH(E984,食材マスタ!$C$10:$C$309,0)),""))</f>
        <v/>
      </c>
      <c r="I984" s="15" t="str">
        <f>IF(E984="","",IFERROR(INDEX(食材マスタ!$K$10:$K$309,MATCH(E984,食材マスタ!$C$10:$C$309,0)),""))</f>
        <v/>
      </c>
      <c r="J984" s="15" t="str">
        <f t="shared" si="75"/>
        <v/>
      </c>
      <c r="K984" s="20"/>
      <c r="L984" s="8" t="str">
        <f t="shared" si="76"/>
        <v/>
      </c>
      <c r="M984" s="9"/>
      <c r="N984" s="13" t="str">
        <f t="shared" si="77"/>
        <v/>
      </c>
      <c r="O984" s="22" t="str">
        <f t="shared" ca="1" si="78"/>
        <v/>
      </c>
      <c r="P984" s="17" t="str">
        <f t="shared" si="79"/>
        <v/>
      </c>
      <c r="Q984" s="11"/>
      <c r="R984" s="19"/>
      <c r="S984" s="19"/>
      <c r="U984">
        <f ca="1">IF(AND(ISNUMBER(O984),O984&lt;=設定!$C$4),1,0)</f>
        <v>0</v>
      </c>
      <c r="V984" t="str">
        <f ca="1">IF(U984=1,SUM($U$10:U984),"")</f>
        <v/>
      </c>
    </row>
    <row r="985" spans="2:22">
      <c r="B985" s="8" t="str">
        <f>IF(C985="","",COUNT($C$10:C985))</f>
        <v/>
      </c>
      <c r="C985" s="20"/>
      <c r="D985" s="11"/>
      <c r="E985" s="9"/>
      <c r="F985" s="21" t="str">
        <f>IF(E985="","",IFERROR(INDEX(食材マスタ!$D$10:$D$309,MATCH(E985,食材マスタ!$C$10:$C$309,0)),"※コード未登録"))</f>
        <v/>
      </c>
      <c r="G985" s="16"/>
      <c r="H985" s="8" t="str">
        <f>IF(E985="","",IFERROR(INDEX(食材マスタ!$H$10:$H$309,MATCH(E985,食材マスタ!$C$10:$C$309,0)),""))</f>
        <v/>
      </c>
      <c r="I985" s="15" t="str">
        <f>IF(E985="","",IFERROR(INDEX(食材マスタ!$K$10:$K$309,MATCH(E985,食材マスタ!$C$10:$C$309,0)),""))</f>
        <v/>
      </c>
      <c r="J985" s="15" t="str">
        <f t="shared" si="75"/>
        <v/>
      </c>
      <c r="K985" s="20"/>
      <c r="L985" s="8" t="str">
        <f t="shared" si="76"/>
        <v/>
      </c>
      <c r="M985" s="9"/>
      <c r="N985" s="13" t="str">
        <f t="shared" si="77"/>
        <v/>
      </c>
      <c r="O985" s="22" t="str">
        <f t="shared" ca="1" si="78"/>
        <v/>
      </c>
      <c r="P985" s="17" t="str">
        <f t="shared" si="79"/>
        <v/>
      </c>
      <c r="Q985" s="11"/>
      <c r="R985" s="19"/>
      <c r="S985" s="19"/>
      <c r="U985">
        <f ca="1">IF(AND(ISNUMBER(O985),O985&lt;=設定!$C$4),1,0)</f>
        <v>0</v>
      </c>
      <c r="V985" t="str">
        <f ca="1">IF(U985=1,SUM($U$10:U985),"")</f>
        <v/>
      </c>
    </row>
    <row r="986" spans="2:22">
      <c r="B986" s="8" t="str">
        <f>IF(C986="","",COUNT($C$10:C986))</f>
        <v/>
      </c>
      <c r="C986" s="20"/>
      <c r="D986" s="11"/>
      <c r="E986" s="9"/>
      <c r="F986" s="21" t="str">
        <f>IF(E986="","",IFERROR(INDEX(食材マスタ!$D$10:$D$309,MATCH(E986,食材マスタ!$C$10:$C$309,0)),"※コード未登録"))</f>
        <v/>
      </c>
      <c r="G986" s="16"/>
      <c r="H986" s="8" t="str">
        <f>IF(E986="","",IFERROR(INDEX(食材マスタ!$H$10:$H$309,MATCH(E986,食材マスタ!$C$10:$C$309,0)),""))</f>
        <v/>
      </c>
      <c r="I986" s="15" t="str">
        <f>IF(E986="","",IFERROR(INDEX(食材マスタ!$K$10:$K$309,MATCH(E986,食材マスタ!$C$10:$C$309,0)),""))</f>
        <v/>
      </c>
      <c r="J986" s="15" t="str">
        <f t="shared" si="75"/>
        <v/>
      </c>
      <c r="K986" s="20"/>
      <c r="L986" s="8" t="str">
        <f t="shared" si="76"/>
        <v/>
      </c>
      <c r="M986" s="9"/>
      <c r="N986" s="13" t="str">
        <f t="shared" si="77"/>
        <v/>
      </c>
      <c r="O986" s="22" t="str">
        <f t="shared" ca="1" si="78"/>
        <v/>
      </c>
      <c r="P986" s="17" t="str">
        <f t="shared" si="79"/>
        <v/>
      </c>
      <c r="Q986" s="11"/>
      <c r="R986" s="19"/>
      <c r="S986" s="19"/>
      <c r="U986">
        <f ca="1">IF(AND(ISNUMBER(O986),O986&lt;=設定!$C$4),1,0)</f>
        <v>0</v>
      </c>
      <c r="V986" t="str">
        <f ca="1">IF(U986=1,SUM($U$10:U986),"")</f>
        <v/>
      </c>
    </row>
    <row r="987" spans="2:22">
      <c r="B987" s="8" t="str">
        <f>IF(C987="","",COUNT($C$10:C987))</f>
        <v/>
      </c>
      <c r="C987" s="20"/>
      <c r="D987" s="11"/>
      <c r="E987" s="9"/>
      <c r="F987" s="21" t="str">
        <f>IF(E987="","",IFERROR(INDEX(食材マスタ!$D$10:$D$309,MATCH(E987,食材マスタ!$C$10:$C$309,0)),"※コード未登録"))</f>
        <v/>
      </c>
      <c r="G987" s="16"/>
      <c r="H987" s="8" t="str">
        <f>IF(E987="","",IFERROR(INDEX(食材マスタ!$H$10:$H$309,MATCH(E987,食材マスタ!$C$10:$C$309,0)),""))</f>
        <v/>
      </c>
      <c r="I987" s="15" t="str">
        <f>IF(E987="","",IFERROR(INDEX(食材マスタ!$K$10:$K$309,MATCH(E987,食材マスタ!$C$10:$C$309,0)),""))</f>
        <v/>
      </c>
      <c r="J987" s="15" t="str">
        <f t="shared" si="75"/>
        <v/>
      </c>
      <c r="K987" s="20"/>
      <c r="L987" s="8" t="str">
        <f t="shared" si="76"/>
        <v/>
      </c>
      <c r="M987" s="9"/>
      <c r="N987" s="13" t="str">
        <f t="shared" si="77"/>
        <v/>
      </c>
      <c r="O987" s="22" t="str">
        <f t="shared" ca="1" si="78"/>
        <v/>
      </c>
      <c r="P987" s="17" t="str">
        <f t="shared" si="79"/>
        <v/>
      </c>
      <c r="Q987" s="11"/>
      <c r="R987" s="19"/>
      <c r="S987" s="19"/>
      <c r="U987">
        <f ca="1">IF(AND(ISNUMBER(O987),O987&lt;=設定!$C$4),1,0)</f>
        <v>0</v>
      </c>
      <c r="V987" t="str">
        <f ca="1">IF(U987=1,SUM($U$10:U987),"")</f>
        <v/>
      </c>
    </row>
    <row r="988" spans="2:22">
      <c r="B988" s="8" t="str">
        <f>IF(C988="","",COUNT($C$10:C988))</f>
        <v/>
      </c>
      <c r="C988" s="20"/>
      <c r="D988" s="11"/>
      <c r="E988" s="9"/>
      <c r="F988" s="21" t="str">
        <f>IF(E988="","",IFERROR(INDEX(食材マスタ!$D$10:$D$309,MATCH(E988,食材マスタ!$C$10:$C$309,0)),"※コード未登録"))</f>
        <v/>
      </c>
      <c r="G988" s="16"/>
      <c r="H988" s="8" t="str">
        <f>IF(E988="","",IFERROR(INDEX(食材マスタ!$H$10:$H$309,MATCH(E988,食材マスタ!$C$10:$C$309,0)),""))</f>
        <v/>
      </c>
      <c r="I988" s="15" t="str">
        <f>IF(E988="","",IFERROR(INDEX(食材マスタ!$K$10:$K$309,MATCH(E988,食材マスタ!$C$10:$C$309,0)),""))</f>
        <v/>
      </c>
      <c r="J988" s="15" t="str">
        <f t="shared" si="75"/>
        <v/>
      </c>
      <c r="K988" s="20"/>
      <c r="L988" s="8" t="str">
        <f t="shared" si="76"/>
        <v/>
      </c>
      <c r="M988" s="9"/>
      <c r="N988" s="13" t="str">
        <f t="shared" si="77"/>
        <v/>
      </c>
      <c r="O988" s="22" t="str">
        <f t="shared" ca="1" si="78"/>
        <v/>
      </c>
      <c r="P988" s="17" t="str">
        <f t="shared" si="79"/>
        <v/>
      </c>
      <c r="Q988" s="11"/>
      <c r="R988" s="19"/>
      <c r="S988" s="19"/>
      <c r="U988">
        <f ca="1">IF(AND(ISNUMBER(O988),O988&lt;=設定!$C$4),1,0)</f>
        <v>0</v>
      </c>
      <c r="V988" t="str">
        <f ca="1">IF(U988=1,SUM($U$10:U988),"")</f>
        <v/>
      </c>
    </row>
    <row r="989" spans="2:22">
      <c r="B989" s="8" t="str">
        <f>IF(C989="","",COUNT($C$10:C989))</f>
        <v/>
      </c>
      <c r="C989" s="20"/>
      <c r="D989" s="11"/>
      <c r="E989" s="9"/>
      <c r="F989" s="21" t="str">
        <f>IF(E989="","",IFERROR(INDEX(食材マスタ!$D$10:$D$309,MATCH(E989,食材マスタ!$C$10:$C$309,0)),"※コード未登録"))</f>
        <v/>
      </c>
      <c r="G989" s="16"/>
      <c r="H989" s="8" t="str">
        <f>IF(E989="","",IFERROR(INDEX(食材マスタ!$H$10:$H$309,MATCH(E989,食材マスタ!$C$10:$C$309,0)),""))</f>
        <v/>
      </c>
      <c r="I989" s="15" t="str">
        <f>IF(E989="","",IFERROR(INDEX(食材マスタ!$K$10:$K$309,MATCH(E989,食材マスタ!$C$10:$C$309,0)),""))</f>
        <v/>
      </c>
      <c r="J989" s="15" t="str">
        <f t="shared" si="75"/>
        <v/>
      </c>
      <c r="K989" s="20"/>
      <c r="L989" s="8" t="str">
        <f t="shared" si="76"/>
        <v/>
      </c>
      <c r="M989" s="9"/>
      <c r="N989" s="13" t="str">
        <f t="shared" si="77"/>
        <v/>
      </c>
      <c r="O989" s="22" t="str">
        <f t="shared" ca="1" si="78"/>
        <v/>
      </c>
      <c r="P989" s="17" t="str">
        <f t="shared" si="79"/>
        <v/>
      </c>
      <c r="Q989" s="11"/>
      <c r="R989" s="19"/>
      <c r="S989" s="19"/>
      <c r="U989">
        <f ca="1">IF(AND(ISNUMBER(O989),O989&lt;=設定!$C$4),1,0)</f>
        <v>0</v>
      </c>
      <c r="V989" t="str">
        <f ca="1">IF(U989=1,SUM($U$10:U989),"")</f>
        <v/>
      </c>
    </row>
    <row r="990" spans="2:22">
      <c r="B990" s="8" t="str">
        <f>IF(C990="","",COUNT($C$10:C990))</f>
        <v/>
      </c>
      <c r="C990" s="20"/>
      <c r="D990" s="11"/>
      <c r="E990" s="9"/>
      <c r="F990" s="21" t="str">
        <f>IF(E990="","",IFERROR(INDEX(食材マスタ!$D$10:$D$309,MATCH(E990,食材マスタ!$C$10:$C$309,0)),"※コード未登録"))</f>
        <v/>
      </c>
      <c r="G990" s="16"/>
      <c r="H990" s="8" t="str">
        <f>IF(E990="","",IFERROR(INDEX(食材マスタ!$H$10:$H$309,MATCH(E990,食材マスタ!$C$10:$C$309,0)),""))</f>
        <v/>
      </c>
      <c r="I990" s="15" t="str">
        <f>IF(E990="","",IFERROR(INDEX(食材マスタ!$K$10:$K$309,MATCH(E990,食材マスタ!$C$10:$C$309,0)),""))</f>
        <v/>
      </c>
      <c r="J990" s="15" t="str">
        <f t="shared" si="75"/>
        <v/>
      </c>
      <c r="K990" s="20"/>
      <c r="L990" s="8" t="str">
        <f t="shared" si="76"/>
        <v/>
      </c>
      <c r="M990" s="9"/>
      <c r="N990" s="13" t="str">
        <f t="shared" si="77"/>
        <v/>
      </c>
      <c r="O990" s="22" t="str">
        <f t="shared" ca="1" si="78"/>
        <v/>
      </c>
      <c r="P990" s="17" t="str">
        <f t="shared" si="79"/>
        <v/>
      </c>
      <c r="Q990" s="11"/>
      <c r="R990" s="19"/>
      <c r="S990" s="19"/>
      <c r="U990">
        <f ca="1">IF(AND(ISNUMBER(O990),O990&lt;=設定!$C$4),1,0)</f>
        <v>0</v>
      </c>
      <c r="V990" t="str">
        <f ca="1">IF(U990=1,SUM($U$10:U990),"")</f>
        <v/>
      </c>
    </row>
    <row r="991" spans="2:22">
      <c r="B991" s="8" t="str">
        <f>IF(C991="","",COUNT($C$10:C991))</f>
        <v/>
      </c>
      <c r="C991" s="20"/>
      <c r="D991" s="11"/>
      <c r="E991" s="9"/>
      <c r="F991" s="21" t="str">
        <f>IF(E991="","",IFERROR(INDEX(食材マスタ!$D$10:$D$309,MATCH(E991,食材マスタ!$C$10:$C$309,0)),"※コード未登録"))</f>
        <v/>
      </c>
      <c r="G991" s="16"/>
      <c r="H991" s="8" t="str">
        <f>IF(E991="","",IFERROR(INDEX(食材マスタ!$H$10:$H$309,MATCH(E991,食材マスタ!$C$10:$C$309,0)),""))</f>
        <v/>
      </c>
      <c r="I991" s="15" t="str">
        <f>IF(E991="","",IFERROR(INDEX(食材マスタ!$K$10:$K$309,MATCH(E991,食材マスタ!$C$10:$C$309,0)),""))</f>
        <v/>
      </c>
      <c r="J991" s="15" t="str">
        <f t="shared" si="75"/>
        <v/>
      </c>
      <c r="K991" s="20"/>
      <c r="L991" s="8" t="str">
        <f t="shared" si="76"/>
        <v/>
      </c>
      <c r="M991" s="9"/>
      <c r="N991" s="13" t="str">
        <f t="shared" si="77"/>
        <v/>
      </c>
      <c r="O991" s="22" t="str">
        <f t="shared" ca="1" si="78"/>
        <v/>
      </c>
      <c r="P991" s="17" t="str">
        <f t="shared" si="79"/>
        <v/>
      </c>
      <c r="Q991" s="11"/>
      <c r="R991" s="19"/>
      <c r="S991" s="19"/>
      <c r="U991">
        <f ca="1">IF(AND(ISNUMBER(O991),O991&lt;=設定!$C$4),1,0)</f>
        <v>0</v>
      </c>
      <c r="V991" t="str">
        <f ca="1">IF(U991=1,SUM($U$10:U991),"")</f>
        <v/>
      </c>
    </row>
    <row r="992" spans="2:22">
      <c r="B992" s="8" t="str">
        <f>IF(C992="","",COUNT($C$10:C992))</f>
        <v/>
      </c>
      <c r="C992" s="20"/>
      <c r="D992" s="11"/>
      <c r="E992" s="9"/>
      <c r="F992" s="21" t="str">
        <f>IF(E992="","",IFERROR(INDEX(食材マスタ!$D$10:$D$309,MATCH(E992,食材マスタ!$C$10:$C$309,0)),"※コード未登録"))</f>
        <v/>
      </c>
      <c r="G992" s="16"/>
      <c r="H992" s="8" t="str">
        <f>IF(E992="","",IFERROR(INDEX(食材マスタ!$H$10:$H$309,MATCH(E992,食材マスタ!$C$10:$C$309,0)),""))</f>
        <v/>
      </c>
      <c r="I992" s="15" t="str">
        <f>IF(E992="","",IFERROR(INDEX(食材マスタ!$K$10:$K$309,MATCH(E992,食材マスタ!$C$10:$C$309,0)),""))</f>
        <v/>
      </c>
      <c r="J992" s="15" t="str">
        <f t="shared" si="75"/>
        <v/>
      </c>
      <c r="K992" s="20"/>
      <c r="L992" s="8" t="str">
        <f t="shared" si="76"/>
        <v/>
      </c>
      <c r="M992" s="9"/>
      <c r="N992" s="13" t="str">
        <f t="shared" si="77"/>
        <v/>
      </c>
      <c r="O992" s="22" t="str">
        <f t="shared" ca="1" si="78"/>
        <v/>
      </c>
      <c r="P992" s="17" t="str">
        <f t="shared" si="79"/>
        <v/>
      </c>
      <c r="Q992" s="11"/>
      <c r="R992" s="19"/>
      <c r="S992" s="19"/>
      <c r="U992">
        <f ca="1">IF(AND(ISNUMBER(O992),O992&lt;=設定!$C$4),1,0)</f>
        <v>0</v>
      </c>
      <c r="V992" t="str">
        <f ca="1">IF(U992=1,SUM($U$10:U992),"")</f>
        <v/>
      </c>
    </row>
    <row r="993" spans="2:22">
      <c r="B993" s="8" t="str">
        <f>IF(C993="","",COUNT($C$10:C993))</f>
        <v/>
      </c>
      <c r="C993" s="20"/>
      <c r="D993" s="11"/>
      <c r="E993" s="9"/>
      <c r="F993" s="21" t="str">
        <f>IF(E993="","",IFERROR(INDEX(食材マスタ!$D$10:$D$309,MATCH(E993,食材マスタ!$C$10:$C$309,0)),"※コード未登録"))</f>
        <v/>
      </c>
      <c r="G993" s="16"/>
      <c r="H993" s="8" t="str">
        <f>IF(E993="","",IFERROR(INDEX(食材マスタ!$H$10:$H$309,MATCH(E993,食材マスタ!$C$10:$C$309,0)),""))</f>
        <v/>
      </c>
      <c r="I993" s="15" t="str">
        <f>IF(E993="","",IFERROR(INDEX(食材マスタ!$K$10:$K$309,MATCH(E993,食材マスタ!$C$10:$C$309,0)),""))</f>
        <v/>
      </c>
      <c r="J993" s="15" t="str">
        <f t="shared" si="75"/>
        <v/>
      </c>
      <c r="K993" s="20"/>
      <c r="L993" s="8" t="str">
        <f t="shared" si="76"/>
        <v/>
      </c>
      <c r="M993" s="9"/>
      <c r="N993" s="13" t="str">
        <f t="shared" si="77"/>
        <v/>
      </c>
      <c r="O993" s="22" t="str">
        <f t="shared" ca="1" si="78"/>
        <v/>
      </c>
      <c r="P993" s="17" t="str">
        <f t="shared" si="79"/>
        <v/>
      </c>
      <c r="Q993" s="11"/>
      <c r="R993" s="19"/>
      <c r="S993" s="19"/>
      <c r="U993">
        <f ca="1">IF(AND(ISNUMBER(O993),O993&lt;=設定!$C$4),1,0)</f>
        <v>0</v>
      </c>
      <c r="V993" t="str">
        <f ca="1">IF(U993=1,SUM($U$10:U993),"")</f>
        <v/>
      </c>
    </row>
    <row r="994" spans="2:22">
      <c r="B994" s="8" t="str">
        <f>IF(C994="","",COUNT($C$10:C994))</f>
        <v/>
      </c>
      <c r="C994" s="20"/>
      <c r="D994" s="11"/>
      <c r="E994" s="9"/>
      <c r="F994" s="21" t="str">
        <f>IF(E994="","",IFERROR(INDEX(食材マスタ!$D$10:$D$309,MATCH(E994,食材マスタ!$C$10:$C$309,0)),"※コード未登録"))</f>
        <v/>
      </c>
      <c r="G994" s="16"/>
      <c r="H994" s="8" t="str">
        <f>IF(E994="","",IFERROR(INDEX(食材マスタ!$H$10:$H$309,MATCH(E994,食材マスタ!$C$10:$C$309,0)),""))</f>
        <v/>
      </c>
      <c r="I994" s="15" t="str">
        <f>IF(E994="","",IFERROR(INDEX(食材マスタ!$K$10:$K$309,MATCH(E994,食材マスタ!$C$10:$C$309,0)),""))</f>
        <v/>
      </c>
      <c r="J994" s="15" t="str">
        <f t="shared" si="75"/>
        <v/>
      </c>
      <c r="K994" s="20"/>
      <c r="L994" s="8" t="str">
        <f t="shared" si="76"/>
        <v/>
      </c>
      <c r="M994" s="9"/>
      <c r="N994" s="13" t="str">
        <f t="shared" si="77"/>
        <v/>
      </c>
      <c r="O994" s="22" t="str">
        <f t="shared" ca="1" si="78"/>
        <v/>
      </c>
      <c r="P994" s="17" t="str">
        <f t="shared" si="79"/>
        <v/>
      </c>
      <c r="Q994" s="11"/>
      <c r="R994" s="19"/>
      <c r="S994" s="19"/>
      <c r="U994">
        <f ca="1">IF(AND(ISNUMBER(O994),O994&lt;=設定!$C$4),1,0)</f>
        <v>0</v>
      </c>
      <c r="V994" t="str">
        <f ca="1">IF(U994=1,SUM($U$10:U994),"")</f>
        <v/>
      </c>
    </row>
    <row r="995" spans="2:22">
      <c r="B995" s="8" t="str">
        <f>IF(C995="","",COUNT($C$10:C995))</f>
        <v/>
      </c>
      <c r="C995" s="20"/>
      <c r="D995" s="11"/>
      <c r="E995" s="9"/>
      <c r="F995" s="21" t="str">
        <f>IF(E995="","",IFERROR(INDEX(食材マスタ!$D$10:$D$309,MATCH(E995,食材マスタ!$C$10:$C$309,0)),"※コード未登録"))</f>
        <v/>
      </c>
      <c r="G995" s="16"/>
      <c r="H995" s="8" t="str">
        <f>IF(E995="","",IFERROR(INDEX(食材マスタ!$H$10:$H$309,MATCH(E995,食材マスタ!$C$10:$C$309,0)),""))</f>
        <v/>
      </c>
      <c r="I995" s="15" t="str">
        <f>IF(E995="","",IFERROR(INDEX(食材マスタ!$K$10:$K$309,MATCH(E995,食材マスタ!$C$10:$C$309,0)),""))</f>
        <v/>
      </c>
      <c r="J995" s="15" t="str">
        <f t="shared" si="75"/>
        <v/>
      </c>
      <c r="K995" s="20"/>
      <c r="L995" s="8" t="str">
        <f t="shared" si="76"/>
        <v/>
      </c>
      <c r="M995" s="9"/>
      <c r="N995" s="13" t="str">
        <f t="shared" si="77"/>
        <v/>
      </c>
      <c r="O995" s="22" t="str">
        <f t="shared" ca="1" si="78"/>
        <v/>
      </c>
      <c r="P995" s="17" t="str">
        <f t="shared" si="79"/>
        <v/>
      </c>
      <c r="Q995" s="11"/>
      <c r="R995" s="19"/>
      <c r="S995" s="19"/>
      <c r="U995">
        <f ca="1">IF(AND(ISNUMBER(O995),O995&lt;=設定!$C$4),1,0)</f>
        <v>0</v>
      </c>
      <c r="V995" t="str">
        <f ca="1">IF(U995=1,SUM($U$10:U995),"")</f>
        <v/>
      </c>
    </row>
    <row r="996" spans="2:22">
      <c r="B996" s="8" t="str">
        <f>IF(C996="","",COUNT($C$10:C996))</f>
        <v/>
      </c>
      <c r="C996" s="20"/>
      <c r="D996" s="11"/>
      <c r="E996" s="9"/>
      <c r="F996" s="21" t="str">
        <f>IF(E996="","",IFERROR(INDEX(食材マスタ!$D$10:$D$309,MATCH(E996,食材マスタ!$C$10:$C$309,0)),"※コード未登録"))</f>
        <v/>
      </c>
      <c r="G996" s="16"/>
      <c r="H996" s="8" t="str">
        <f>IF(E996="","",IFERROR(INDEX(食材マスタ!$H$10:$H$309,MATCH(E996,食材マスタ!$C$10:$C$309,0)),""))</f>
        <v/>
      </c>
      <c r="I996" s="15" t="str">
        <f>IF(E996="","",IFERROR(INDEX(食材マスタ!$K$10:$K$309,MATCH(E996,食材マスタ!$C$10:$C$309,0)),""))</f>
        <v/>
      </c>
      <c r="J996" s="15" t="str">
        <f t="shared" si="75"/>
        <v/>
      </c>
      <c r="K996" s="20"/>
      <c r="L996" s="8" t="str">
        <f t="shared" si="76"/>
        <v/>
      </c>
      <c r="M996" s="9"/>
      <c r="N996" s="13" t="str">
        <f t="shared" si="77"/>
        <v/>
      </c>
      <c r="O996" s="22" t="str">
        <f t="shared" ca="1" si="78"/>
        <v/>
      </c>
      <c r="P996" s="17" t="str">
        <f t="shared" si="79"/>
        <v/>
      </c>
      <c r="Q996" s="11"/>
      <c r="R996" s="19"/>
      <c r="S996" s="19"/>
      <c r="U996">
        <f ca="1">IF(AND(ISNUMBER(O996),O996&lt;=設定!$C$4),1,0)</f>
        <v>0</v>
      </c>
      <c r="V996" t="str">
        <f ca="1">IF(U996=1,SUM($U$10:U996),"")</f>
        <v/>
      </c>
    </row>
    <row r="997" spans="2:22">
      <c r="B997" s="8" t="str">
        <f>IF(C997="","",COUNT($C$10:C997))</f>
        <v/>
      </c>
      <c r="C997" s="20"/>
      <c r="D997" s="11"/>
      <c r="E997" s="9"/>
      <c r="F997" s="21" t="str">
        <f>IF(E997="","",IFERROR(INDEX(食材マスタ!$D$10:$D$309,MATCH(E997,食材マスタ!$C$10:$C$309,0)),"※コード未登録"))</f>
        <v/>
      </c>
      <c r="G997" s="16"/>
      <c r="H997" s="8" t="str">
        <f>IF(E997="","",IFERROR(INDEX(食材マスタ!$H$10:$H$309,MATCH(E997,食材マスタ!$C$10:$C$309,0)),""))</f>
        <v/>
      </c>
      <c r="I997" s="15" t="str">
        <f>IF(E997="","",IFERROR(INDEX(食材マスタ!$K$10:$K$309,MATCH(E997,食材マスタ!$C$10:$C$309,0)),""))</f>
        <v/>
      </c>
      <c r="J997" s="15" t="str">
        <f t="shared" si="75"/>
        <v/>
      </c>
      <c r="K997" s="20"/>
      <c r="L997" s="8" t="str">
        <f t="shared" si="76"/>
        <v/>
      </c>
      <c r="M997" s="9"/>
      <c r="N997" s="13" t="str">
        <f t="shared" si="77"/>
        <v/>
      </c>
      <c r="O997" s="22" t="str">
        <f t="shared" ca="1" si="78"/>
        <v/>
      </c>
      <c r="P997" s="17" t="str">
        <f t="shared" si="79"/>
        <v/>
      </c>
      <c r="Q997" s="11"/>
      <c r="R997" s="19"/>
      <c r="S997" s="19"/>
      <c r="U997">
        <f ca="1">IF(AND(ISNUMBER(O997),O997&lt;=設定!$C$4),1,0)</f>
        <v>0</v>
      </c>
      <c r="V997" t="str">
        <f ca="1">IF(U997=1,SUM($U$10:U997),"")</f>
        <v/>
      </c>
    </row>
    <row r="998" spans="2:22">
      <c r="B998" s="8" t="str">
        <f>IF(C998="","",COUNT($C$10:C998))</f>
        <v/>
      </c>
      <c r="C998" s="20"/>
      <c r="D998" s="11"/>
      <c r="E998" s="9"/>
      <c r="F998" s="21" t="str">
        <f>IF(E998="","",IFERROR(INDEX(食材マスタ!$D$10:$D$309,MATCH(E998,食材マスタ!$C$10:$C$309,0)),"※コード未登録"))</f>
        <v/>
      </c>
      <c r="G998" s="16"/>
      <c r="H998" s="8" t="str">
        <f>IF(E998="","",IFERROR(INDEX(食材マスタ!$H$10:$H$309,MATCH(E998,食材マスタ!$C$10:$C$309,0)),""))</f>
        <v/>
      </c>
      <c r="I998" s="15" t="str">
        <f>IF(E998="","",IFERROR(INDEX(食材マスタ!$K$10:$K$309,MATCH(E998,食材マスタ!$C$10:$C$309,0)),""))</f>
        <v/>
      </c>
      <c r="J998" s="15" t="str">
        <f t="shared" si="75"/>
        <v/>
      </c>
      <c r="K998" s="20"/>
      <c r="L998" s="8" t="str">
        <f t="shared" si="76"/>
        <v/>
      </c>
      <c r="M998" s="9"/>
      <c r="N998" s="13" t="str">
        <f t="shared" si="77"/>
        <v/>
      </c>
      <c r="O998" s="22" t="str">
        <f t="shared" ca="1" si="78"/>
        <v/>
      </c>
      <c r="P998" s="17" t="str">
        <f t="shared" si="79"/>
        <v/>
      </c>
      <c r="Q998" s="11"/>
      <c r="R998" s="19"/>
      <c r="S998" s="19"/>
      <c r="U998">
        <f ca="1">IF(AND(ISNUMBER(O998),O998&lt;=設定!$C$4),1,0)</f>
        <v>0</v>
      </c>
      <c r="V998" t="str">
        <f ca="1">IF(U998=1,SUM($U$10:U998),"")</f>
        <v/>
      </c>
    </row>
    <row r="999" spans="2:22">
      <c r="B999" s="8" t="str">
        <f>IF(C999="","",COUNT($C$10:C999))</f>
        <v/>
      </c>
      <c r="C999" s="20"/>
      <c r="D999" s="11"/>
      <c r="E999" s="9"/>
      <c r="F999" s="21" t="str">
        <f>IF(E999="","",IFERROR(INDEX(食材マスタ!$D$10:$D$309,MATCH(E999,食材マスタ!$C$10:$C$309,0)),"※コード未登録"))</f>
        <v/>
      </c>
      <c r="G999" s="16"/>
      <c r="H999" s="8" t="str">
        <f>IF(E999="","",IFERROR(INDEX(食材マスタ!$H$10:$H$309,MATCH(E999,食材マスタ!$C$10:$C$309,0)),""))</f>
        <v/>
      </c>
      <c r="I999" s="15" t="str">
        <f>IF(E999="","",IFERROR(INDEX(食材マスタ!$K$10:$K$309,MATCH(E999,食材マスタ!$C$10:$C$309,0)),""))</f>
        <v/>
      </c>
      <c r="J999" s="15" t="str">
        <f t="shared" si="75"/>
        <v/>
      </c>
      <c r="K999" s="20"/>
      <c r="L999" s="8" t="str">
        <f t="shared" si="76"/>
        <v/>
      </c>
      <c r="M999" s="9"/>
      <c r="N999" s="13" t="str">
        <f t="shared" si="77"/>
        <v/>
      </c>
      <c r="O999" s="22" t="str">
        <f t="shared" ca="1" si="78"/>
        <v/>
      </c>
      <c r="P999" s="17" t="str">
        <f t="shared" si="79"/>
        <v/>
      </c>
      <c r="Q999" s="11"/>
      <c r="R999" s="19"/>
      <c r="S999" s="19"/>
      <c r="U999">
        <f ca="1">IF(AND(ISNUMBER(O999),O999&lt;=設定!$C$4),1,0)</f>
        <v>0</v>
      </c>
      <c r="V999" t="str">
        <f ca="1">IF(U999=1,SUM($U$10:U999),"")</f>
        <v/>
      </c>
    </row>
    <row r="1000" spans="2:22">
      <c r="B1000" s="8" t="str">
        <f>IF(C1000="","",COUNT($C$10:C1000))</f>
        <v/>
      </c>
      <c r="C1000" s="20"/>
      <c r="D1000" s="11"/>
      <c r="E1000" s="9"/>
      <c r="F1000" s="21" t="str">
        <f>IF(E1000="","",IFERROR(INDEX(食材マスタ!$D$10:$D$309,MATCH(E1000,食材マスタ!$C$10:$C$309,0)),"※コード未登録"))</f>
        <v/>
      </c>
      <c r="G1000" s="16"/>
      <c r="H1000" s="8" t="str">
        <f>IF(E1000="","",IFERROR(INDEX(食材マスタ!$H$10:$H$309,MATCH(E1000,食材マスタ!$C$10:$C$309,0)),""))</f>
        <v/>
      </c>
      <c r="I1000" s="15" t="str">
        <f>IF(E1000="","",IFERROR(INDEX(食材マスタ!$K$10:$K$309,MATCH(E1000,食材マスタ!$C$10:$C$309,0)),""))</f>
        <v/>
      </c>
      <c r="J1000" s="15" t="str">
        <f t="shared" si="75"/>
        <v/>
      </c>
      <c r="K1000" s="20"/>
      <c r="L1000" s="8" t="str">
        <f t="shared" si="76"/>
        <v/>
      </c>
      <c r="M1000" s="9"/>
      <c r="N1000" s="13" t="str">
        <f t="shared" si="77"/>
        <v/>
      </c>
      <c r="O1000" s="22" t="str">
        <f t="shared" ca="1" si="78"/>
        <v/>
      </c>
      <c r="P1000" s="17" t="str">
        <f t="shared" si="79"/>
        <v/>
      </c>
      <c r="Q1000" s="11"/>
      <c r="R1000" s="19"/>
      <c r="S1000" s="19"/>
      <c r="U1000">
        <f ca="1">IF(AND(ISNUMBER(O1000),O1000&lt;=設定!$C$4),1,0)</f>
        <v>0</v>
      </c>
      <c r="V1000" t="str">
        <f ca="1">IF(U1000=1,SUM($U$10:U1000),"")</f>
        <v/>
      </c>
    </row>
    <row r="1001" spans="2:22">
      <c r="B1001" s="8" t="str">
        <f>IF(C1001="","",COUNT($C$10:C1001))</f>
        <v/>
      </c>
      <c r="C1001" s="20"/>
      <c r="D1001" s="11"/>
      <c r="E1001" s="9"/>
      <c r="F1001" s="21" t="str">
        <f>IF(E1001="","",IFERROR(INDEX(食材マスタ!$D$10:$D$309,MATCH(E1001,食材マスタ!$C$10:$C$309,0)),"※コード未登録"))</f>
        <v/>
      </c>
      <c r="G1001" s="16"/>
      <c r="H1001" s="8" t="str">
        <f>IF(E1001="","",IFERROR(INDEX(食材マスタ!$H$10:$H$309,MATCH(E1001,食材マスタ!$C$10:$C$309,0)),""))</f>
        <v/>
      </c>
      <c r="I1001" s="15" t="str">
        <f>IF(E1001="","",IFERROR(INDEX(食材マスタ!$K$10:$K$309,MATCH(E1001,食材マスタ!$C$10:$C$309,0)),""))</f>
        <v/>
      </c>
      <c r="J1001" s="15" t="str">
        <f t="shared" si="75"/>
        <v/>
      </c>
      <c r="K1001" s="20"/>
      <c r="L1001" s="8" t="str">
        <f t="shared" si="76"/>
        <v/>
      </c>
      <c r="M1001" s="9"/>
      <c r="N1001" s="13" t="str">
        <f t="shared" si="77"/>
        <v/>
      </c>
      <c r="O1001" s="22" t="str">
        <f t="shared" ca="1" si="78"/>
        <v/>
      </c>
      <c r="P1001" s="17" t="str">
        <f t="shared" si="79"/>
        <v/>
      </c>
      <c r="Q1001" s="11"/>
      <c r="R1001" s="19"/>
      <c r="S1001" s="19"/>
      <c r="U1001">
        <f ca="1">IF(AND(ISNUMBER(O1001),O1001&lt;=設定!$C$4),1,0)</f>
        <v>0</v>
      </c>
      <c r="V1001" t="str">
        <f ca="1">IF(U1001=1,SUM($U$10:U1001),"")</f>
        <v/>
      </c>
    </row>
    <row r="1002" spans="2:22">
      <c r="B1002" s="8" t="str">
        <f>IF(C1002="","",COUNT($C$10:C1002))</f>
        <v/>
      </c>
      <c r="C1002" s="20"/>
      <c r="D1002" s="11"/>
      <c r="E1002" s="9"/>
      <c r="F1002" s="21" t="str">
        <f>IF(E1002="","",IFERROR(INDEX(食材マスタ!$D$10:$D$309,MATCH(E1002,食材マスタ!$C$10:$C$309,0)),"※コード未登録"))</f>
        <v/>
      </c>
      <c r="G1002" s="16"/>
      <c r="H1002" s="8" t="str">
        <f>IF(E1002="","",IFERROR(INDEX(食材マスタ!$H$10:$H$309,MATCH(E1002,食材マスタ!$C$10:$C$309,0)),""))</f>
        <v/>
      </c>
      <c r="I1002" s="15" t="str">
        <f>IF(E1002="","",IFERROR(INDEX(食材マスタ!$K$10:$K$309,MATCH(E1002,食材マスタ!$C$10:$C$309,0)),""))</f>
        <v/>
      </c>
      <c r="J1002" s="15" t="str">
        <f t="shared" si="75"/>
        <v/>
      </c>
      <c r="K1002" s="20"/>
      <c r="L1002" s="8" t="str">
        <f t="shared" si="76"/>
        <v/>
      </c>
      <c r="M1002" s="9"/>
      <c r="N1002" s="13" t="str">
        <f t="shared" si="77"/>
        <v/>
      </c>
      <c r="O1002" s="22" t="str">
        <f t="shared" ca="1" si="78"/>
        <v/>
      </c>
      <c r="P1002" s="17" t="str">
        <f t="shared" si="79"/>
        <v/>
      </c>
      <c r="Q1002" s="11"/>
      <c r="R1002" s="19"/>
      <c r="S1002" s="19"/>
      <c r="U1002">
        <f ca="1">IF(AND(ISNUMBER(O1002),O1002&lt;=設定!$C$4),1,0)</f>
        <v>0</v>
      </c>
      <c r="V1002" t="str">
        <f ca="1">IF(U1002=1,SUM($U$10:U1002),"")</f>
        <v/>
      </c>
    </row>
    <row r="1003" spans="2:22">
      <c r="B1003" s="8" t="str">
        <f>IF(C1003="","",COUNT($C$10:C1003))</f>
        <v/>
      </c>
      <c r="C1003" s="20"/>
      <c r="D1003" s="11"/>
      <c r="E1003" s="9"/>
      <c r="F1003" s="21" t="str">
        <f>IF(E1003="","",IFERROR(INDEX(食材マスタ!$D$10:$D$309,MATCH(E1003,食材マスタ!$C$10:$C$309,0)),"※コード未登録"))</f>
        <v/>
      </c>
      <c r="G1003" s="16"/>
      <c r="H1003" s="8" t="str">
        <f>IF(E1003="","",IFERROR(INDEX(食材マスタ!$H$10:$H$309,MATCH(E1003,食材マスタ!$C$10:$C$309,0)),""))</f>
        <v/>
      </c>
      <c r="I1003" s="15" t="str">
        <f>IF(E1003="","",IFERROR(INDEX(食材マスタ!$K$10:$K$309,MATCH(E1003,食材マスタ!$C$10:$C$309,0)),""))</f>
        <v/>
      </c>
      <c r="J1003" s="15" t="str">
        <f t="shared" si="75"/>
        <v/>
      </c>
      <c r="K1003" s="20"/>
      <c r="L1003" s="8" t="str">
        <f t="shared" si="76"/>
        <v/>
      </c>
      <c r="M1003" s="9"/>
      <c r="N1003" s="13" t="str">
        <f t="shared" si="77"/>
        <v/>
      </c>
      <c r="O1003" s="22" t="str">
        <f t="shared" ca="1" si="78"/>
        <v/>
      </c>
      <c r="P1003" s="17" t="str">
        <f t="shared" si="79"/>
        <v/>
      </c>
      <c r="Q1003" s="11"/>
      <c r="R1003" s="19"/>
      <c r="S1003" s="19"/>
      <c r="U1003">
        <f ca="1">IF(AND(ISNUMBER(O1003),O1003&lt;=設定!$C$4),1,0)</f>
        <v>0</v>
      </c>
      <c r="V1003" t="str">
        <f ca="1">IF(U1003=1,SUM($U$10:U1003),"")</f>
        <v/>
      </c>
    </row>
    <row r="1004" spans="2:22">
      <c r="B1004" s="8" t="str">
        <f>IF(C1004="","",COUNT($C$10:C1004))</f>
        <v/>
      </c>
      <c r="C1004" s="20"/>
      <c r="D1004" s="11"/>
      <c r="E1004" s="9"/>
      <c r="F1004" s="21" t="str">
        <f>IF(E1004="","",IFERROR(INDEX(食材マスタ!$D$10:$D$309,MATCH(E1004,食材マスタ!$C$10:$C$309,0)),"※コード未登録"))</f>
        <v/>
      </c>
      <c r="G1004" s="16"/>
      <c r="H1004" s="8" t="str">
        <f>IF(E1004="","",IFERROR(INDEX(食材マスタ!$H$10:$H$309,MATCH(E1004,食材マスタ!$C$10:$C$309,0)),""))</f>
        <v/>
      </c>
      <c r="I1004" s="15" t="str">
        <f>IF(E1004="","",IFERROR(INDEX(食材マスタ!$K$10:$K$309,MATCH(E1004,食材マスタ!$C$10:$C$309,0)),""))</f>
        <v/>
      </c>
      <c r="J1004" s="15" t="str">
        <f t="shared" si="75"/>
        <v/>
      </c>
      <c r="K1004" s="20"/>
      <c r="L1004" s="8" t="str">
        <f t="shared" si="76"/>
        <v/>
      </c>
      <c r="M1004" s="9"/>
      <c r="N1004" s="13" t="str">
        <f t="shared" si="77"/>
        <v/>
      </c>
      <c r="O1004" s="22" t="str">
        <f t="shared" ca="1" si="78"/>
        <v/>
      </c>
      <c r="P1004" s="17" t="str">
        <f t="shared" si="79"/>
        <v/>
      </c>
      <c r="Q1004" s="11"/>
      <c r="R1004" s="19"/>
      <c r="S1004" s="19"/>
      <c r="U1004">
        <f ca="1">IF(AND(ISNUMBER(O1004),O1004&lt;=設定!$C$4),1,0)</f>
        <v>0</v>
      </c>
      <c r="V1004" t="str">
        <f ca="1">IF(U1004=1,SUM($U$10:U1004),"")</f>
        <v/>
      </c>
    </row>
    <row r="1005" spans="2:22">
      <c r="B1005" s="8" t="str">
        <f>IF(C1005="","",COUNT($C$10:C1005))</f>
        <v/>
      </c>
      <c r="C1005" s="20"/>
      <c r="D1005" s="11"/>
      <c r="E1005" s="9"/>
      <c r="F1005" s="21" t="str">
        <f>IF(E1005="","",IFERROR(INDEX(食材マスタ!$D$10:$D$309,MATCH(E1005,食材マスタ!$C$10:$C$309,0)),"※コード未登録"))</f>
        <v/>
      </c>
      <c r="G1005" s="16"/>
      <c r="H1005" s="8" t="str">
        <f>IF(E1005="","",IFERROR(INDEX(食材マスタ!$H$10:$H$309,MATCH(E1005,食材マスタ!$C$10:$C$309,0)),""))</f>
        <v/>
      </c>
      <c r="I1005" s="15" t="str">
        <f>IF(E1005="","",IFERROR(INDEX(食材マスタ!$K$10:$K$309,MATCH(E1005,食材マスタ!$C$10:$C$309,0)),""))</f>
        <v/>
      </c>
      <c r="J1005" s="15" t="str">
        <f t="shared" si="75"/>
        <v/>
      </c>
      <c r="K1005" s="20"/>
      <c r="L1005" s="8" t="str">
        <f t="shared" si="76"/>
        <v/>
      </c>
      <c r="M1005" s="9"/>
      <c r="N1005" s="13" t="str">
        <f t="shared" si="77"/>
        <v/>
      </c>
      <c r="O1005" s="22" t="str">
        <f t="shared" ca="1" si="78"/>
        <v/>
      </c>
      <c r="P1005" s="17" t="str">
        <f t="shared" si="79"/>
        <v/>
      </c>
      <c r="Q1005" s="11"/>
      <c r="R1005" s="19"/>
      <c r="S1005" s="19"/>
      <c r="U1005">
        <f ca="1">IF(AND(ISNUMBER(O1005),O1005&lt;=設定!$C$4),1,0)</f>
        <v>0</v>
      </c>
      <c r="V1005" t="str">
        <f ca="1">IF(U1005=1,SUM($U$10:U1005),"")</f>
        <v/>
      </c>
    </row>
    <row r="1006" spans="2:22">
      <c r="B1006" s="8" t="str">
        <f>IF(C1006="","",COUNT($C$10:C1006))</f>
        <v/>
      </c>
      <c r="C1006" s="20"/>
      <c r="D1006" s="11"/>
      <c r="E1006" s="9"/>
      <c r="F1006" s="21" t="str">
        <f>IF(E1006="","",IFERROR(INDEX(食材マスタ!$D$10:$D$309,MATCH(E1006,食材マスタ!$C$10:$C$309,0)),"※コード未登録"))</f>
        <v/>
      </c>
      <c r="G1006" s="16"/>
      <c r="H1006" s="8" t="str">
        <f>IF(E1006="","",IFERROR(INDEX(食材マスタ!$H$10:$H$309,MATCH(E1006,食材マスタ!$C$10:$C$309,0)),""))</f>
        <v/>
      </c>
      <c r="I1006" s="15" t="str">
        <f>IF(E1006="","",IFERROR(INDEX(食材マスタ!$K$10:$K$309,MATCH(E1006,食材マスタ!$C$10:$C$309,0)),""))</f>
        <v/>
      </c>
      <c r="J1006" s="15" t="str">
        <f t="shared" si="75"/>
        <v/>
      </c>
      <c r="K1006" s="20"/>
      <c r="L1006" s="8" t="str">
        <f t="shared" si="76"/>
        <v/>
      </c>
      <c r="M1006" s="9"/>
      <c r="N1006" s="13" t="str">
        <f t="shared" si="77"/>
        <v/>
      </c>
      <c r="O1006" s="22" t="str">
        <f t="shared" ca="1" si="78"/>
        <v/>
      </c>
      <c r="P1006" s="17" t="str">
        <f t="shared" si="79"/>
        <v/>
      </c>
      <c r="Q1006" s="11"/>
      <c r="R1006" s="19"/>
      <c r="S1006" s="19"/>
      <c r="U1006">
        <f ca="1">IF(AND(ISNUMBER(O1006),O1006&lt;=設定!$C$4),1,0)</f>
        <v>0</v>
      </c>
      <c r="V1006" t="str">
        <f ca="1">IF(U1006=1,SUM($U$10:U1006),"")</f>
        <v/>
      </c>
    </row>
    <row r="1007" spans="2:22">
      <c r="B1007" s="8" t="str">
        <f>IF(C1007="","",COUNT($C$10:C1007))</f>
        <v/>
      </c>
      <c r="C1007" s="20"/>
      <c r="D1007" s="11"/>
      <c r="E1007" s="9"/>
      <c r="F1007" s="21" t="str">
        <f>IF(E1007="","",IFERROR(INDEX(食材マスタ!$D$10:$D$309,MATCH(E1007,食材マスタ!$C$10:$C$309,0)),"※コード未登録"))</f>
        <v/>
      </c>
      <c r="G1007" s="16"/>
      <c r="H1007" s="8" t="str">
        <f>IF(E1007="","",IFERROR(INDEX(食材マスタ!$H$10:$H$309,MATCH(E1007,食材マスタ!$C$10:$C$309,0)),""))</f>
        <v/>
      </c>
      <c r="I1007" s="15" t="str">
        <f>IF(E1007="","",IFERROR(INDEX(食材マスタ!$K$10:$K$309,MATCH(E1007,食材マスタ!$C$10:$C$309,0)),""))</f>
        <v/>
      </c>
      <c r="J1007" s="15" t="str">
        <f t="shared" si="75"/>
        <v/>
      </c>
      <c r="K1007" s="20"/>
      <c r="L1007" s="8" t="str">
        <f t="shared" si="76"/>
        <v/>
      </c>
      <c r="M1007" s="9"/>
      <c r="N1007" s="13" t="str">
        <f t="shared" si="77"/>
        <v/>
      </c>
      <c r="O1007" s="22" t="str">
        <f t="shared" ca="1" si="78"/>
        <v/>
      </c>
      <c r="P1007" s="17" t="str">
        <f t="shared" si="79"/>
        <v/>
      </c>
      <c r="Q1007" s="11"/>
      <c r="R1007" s="19"/>
      <c r="S1007" s="19"/>
      <c r="U1007">
        <f ca="1">IF(AND(ISNUMBER(O1007),O1007&lt;=設定!$C$4),1,0)</f>
        <v>0</v>
      </c>
      <c r="V1007" t="str">
        <f ca="1">IF(U1007=1,SUM($U$10:U1007),"")</f>
        <v/>
      </c>
    </row>
    <row r="1008" spans="2:22">
      <c r="B1008" s="8" t="str">
        <f>IF(C1008="","",COUNT($C$10:C1008))</f>
        <v/>
      </c>
      <c r="C1008" s="20"/>
      <c r="D1008" s="11"/>
      <c r="E1008" s="9"/>
      <c r="F1008" s="21" t="str">
        <f>IF(E1008="","",IFERROR(INDEX(食材マスタ!$D$10:$D$309,MATCH(E1008,食材マスタ!$C$10:$C$309,0)),"※コード未登録"))</f>
        <v/>
      </c>
      <c r="G1008" s="16"/>
      <c r="H1008" s="8" t="str">
        <f>IF(E1008="","",IFERROR(INDEX(食材マスタ!$H$10:$H$309,MATCH(E1008,食材マスタ!$C$10:$C$309,0)),""))</f>
        <v/>
      </c>
      <c r="I1008" s="15" t="str">
        <f>IF(E1008="","",IFERROR(INDEX(食材マスタ!$K$10:$K$309,MATCH(E1008,食材マスタ!$C$10:$C$309,0)),""))</f>
        <v/>
      </c>
      <c r="J1008" s="15" t="str">
        <f t="shared" si="75"/>
        <v/>
      </c>
      <c r="K1008" s="20"/>
      <c r="L1008" s="8" t="str">
        <f t="shared" si="76"/>
        <v/>
      </c>
      <c r="M1008" s="9"/>
      <c r="N1008" s="13" t="str">
        <f t="shared" si="77"/>
        <v/>
      </c>
      <c r="O1008" s="22" t="str">
        <f t="shared" ca="1" si="78"/>
        <v/>
      </c>
      <c r="P1008" s="17" t="str">
        <f t="shared" si="79"/>
        <v/>
      </c>
      <c r="Q1008" s="11"/>
      <c r="R1008" s="19"/>
      <c r="S1008" s="19"/>
      <c r="U1008">
        <f ca="1">IF(AND(ISNUMBER(O1008),O1008&lt;=設定!$C$4),1,0)</f>
        <v>0</v>
      </c>
      <c r="V1008" t="str">
        <f ca="1">IF(U1008=1,SUM($U$10:U1008),"")</f>
        <v/>
      </c>
    </row>
    <row r="1009" spans="2:22">
      <c r="B1009" s="8" t="str">
        <f>IF(C1009="","",COUNT($C$10:C1009))</f>
        <v/>
      </c>
      <c r="C1009" s="20"/>
      <c r="D1009" s="11"/>
      <c r="E1009" s="9"/>
      <c r="F1009" s="21" t="str">
        <f>IF(E1009="","",IFERROR(INDEX(食材マスタ!$D$10:$D$309,MATCH(E1009,食材マスタ!$C$10:$C$309,0)),"※コード未登録"))</f>
        <v/>
      </c>
      <c r="G1009" s="16"/>
      <c r="H1009" s="8" t="str">
        <f>IF(E1009="","",IFERROR(INDEX(食材マスタ!$H$10:$H$309,MATCH(E1009,食材マスタ!$C$10:$C$309,0)),""))</f>
        <v/>
      </c>
      <c r="I1009" s="15" t="str">
        <f>IF(E1009="","",IFERROR(INDEX(食材マスタ!$K$10:$K$309,MATCH(E1009,食材マスタ!$C$10:$C$309,0)),""))</f>
        <v/>
      </c>
      <c r="J1009" s="15" t="str">
        <f t="shared" si="75"/>
        <v/>
      </c>
      <c r="K1009" s="20"/>
      <c r="L1009" s="8" t="str">
        <f t="shared" si="76"/>
        <v/>
      </c>
      <c r="M1009" s="9"/>
      <c r="N1009" s="13" t="str">
        <f t="shared" si="77"/>
        <v/>
      </c>
      <c r="O1009" s="22" t="str">
        <f t="shared" ca="1" si="78"/>
        <v/>
      </c>
      <c r="P1009" s="17" t="str">
        <f t="shared" si="79"/>
        <v/>
      </c>
      <c r="Q1009" s="11"/>
      <c r="R1009" s="19"/>
      <c r="S1009" s="19"/>
      <c r="U1009">
        <f ca="1">IF(AND(ISNUMBER(O1009),O1009&lt;=設定!$C$4),1,0)</f>
        <v>0</v>
      </c>
      <c r="V1009" t="str">
        <f ca="1">IF(U1009=1,SUM($U$10:U1009),"")</f>
        <v/>
      </c>
    </row>
  </sheetData>
  <autoFilter ref="B9:S1009" xr:uid="{00000000-0009-0000-0000-000001000000}"/>
  <mergeCells count="12">
    <mergeCell ref="B3:E5"/>
    <mergeCell ref="M6:S7"/>
    <mergeCell ref="B7:C7"/>
    <mergeCell ref="D7:E7"/>
    <mergeCell ref="F7:G7"/>
    <mergeCell ref="H7:J7"/>
    <mergeCell ref="K7:L7"/>
    <mergeCell ref="B6:C6"/>
    <mergeCell ref="D6:E6"/>
    <mergeCell ref="F6:G6"/>
    <mergeCell ref="H6:J6"/>
    <mergeCell ref="K6:L6"/>
  </mergeCells>
  <phoneticPr fontId="17"/>
  <conditionalFormatting sqref="D10:D1009">
    <cfRule type="expression" dxfId="13" priority="2">
      <formula>D10="入庫"</formula>
    </cfRule>
    <cfRule type="expression" dxfId="12" priority="3">
      <formula>D10="出庫"</formula>
    </cfRule>
    <cfRule type="expression" dxfId="11" priority="4">
      <formula>D10="廃棄"</formula>
    </cfRule>
    <cfRule type="expression" dxfId="10" priority="5">
      <formula>D10="棚卸調整"</formula>
    </cfRule>
  </conditionalFormatting>
  <conditionalFormatting sqref="L10:N1009">
    <cfRule type="expression" dxfId="9" priority="9">
      <formula>AND($L10&lt;&gt;"",$N10&lt;=0)</formula>
    </cfRule>
  </conditionalFormatting>
  <conditionalFormatting sqref="O10:O1009">
    <cfRule type="expression" dxfId="8" priority="7">
      <formula>AND(ISNUMBER(O10),O10&lt;0)</formula>
    </cfRule>
  </conditionalFormatting>
  <conditionalFormatting sqref="P10:P1009">
    <cfRule type="expression" dxfId="6" priority="6">
      <formula>P10&lt;&gt;""</formula>
    </cfRule>
  </conditionalFormatting>
  <dataValidations count="6">
    <dataValidation type="list" allowBlank="1" showErrorMessage="1" sqref="D10:D1009" xr:uid="{00000000-0002-0000-0100-000000000000}">
      <formula1>区分リスト</formula1>
      <formula2>0</formula2>
    </dataValidation>
    <dataValidation type="list" allowBlank="1" sqref="E10:E1009" xr:uid="{00000000-0002-0000-0100-000001000000}">
      <formula1>食材コードリスト</formula1>
      <formula2>0</formula2>
    </dataValidation>
    <dataValidation type="list" allowBlank="1" showErrorMessage="1" sqref="M10:M1009" xr:uid="{00000000-0002-0000-0100-000002000000}">
      <formula1>ロットリスト</formula1>
      <formula2>0</formula2>
    </dataValidation>
    <dataValidation type="list" allowBlank="1" showErrorMessage="1" sqref="Q10:Q1009" xr:uid="{00000000-0002-0000-0100-000003000000}">
      <formula1>担当者リスト</formula1>
      <formula2>0</formula2>
    </dataValidation>
    <dataValidation type="date" operator="greaterThan" allowBlank="1" showErrorMessage="1" error="日付を入力してください（例：2026/10/30）" sqref="C10:C1009 K10:K1009" xr:uid="{00000000-0002-0000-0100-000004000000}">
      <formula1>36526</formula1>
      <formula2>0</formula2>
    </dataValidation>
    <dataValidation type="custom" allowBlank="1" showErrorMessage="1" error="入庫・出庫・廃棄の数量はプラスで入力します（棚卸調整のみマイナス可）" sqref="G10:G1009" xr:uid="{00000000-0002-0000-0100-000005000000}">
      <formula1>OR(D10="棚卸調整",G10&gt;0)</formula1>
      <formula2>0</formula2>
    </dataValidation>
  </dataValidations>
  <hyperlinks>
    <hyperlink ref="A1" r:id="rId1" display="テンプレート倉庫" xr:uid="{D5D023ED-7A4F-4803-8329-0C2F1EAC7D93}"/>
  </hyperlinks>
  <pageMargins left="0.15748031496062992" right="0.15748031496062992" top="0.47244094488188981" bottom="0.23622047244094491" header="0.39370078740157483" footer="0.15748031496062992"/>
  <pageSetup scale="76" fitToHeight="0" orientation="landscape" horizontalDpi="300" verticalDpi="300"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8" id="{00000000-000E-0000-0100-000008000000}">
            <xm:f>AND(ISNUMBER(O10),O10&lt;=設定!$C$4)</xm:f>
            <x14:dxf>
              <font>
                <b/>
                <color rgb="FF7A5A00"/>
              </font>
              <fill>
                <patternFill>
                  <bgColor rgb="FFFFE9A8"/>
                </patternFill>
              </fill>
            </x14:dxf>
          </x14:cfRule>
          <xm:sqref>O10:O1009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AI58"/>
  <sheetViews>
    <sheetView showGridLines="0" zoomScaleNormal="100" workbookViewId="0"/>
  </sheetViews>
  <sheetFormatPr defaultColWidth="8.7109375" defaultRowHeight="15"/>
  <cols>
    <col min="1" max="1" width="2" customWidth="1"/>
    <col min="2" max="2" width="4" customWidth="1"/>
    <col min="3" max="3" width="9" customWidth="1"/>
    <col min="4" max="4" width="11" customWidth="1"/>
    <col min="5" max="5" width="7" customWidth="1"/>
    <col min="6" max="6" width="12" customWidth="1"/>
    <col min="7" max="7" width="10" customWidth="1"/>
    <col min="8" max="8" width="16" customWidth="1"/>
    <col min="9" max="9" width="7" customWidth="1"/>
    <col min="10" max="10" width="9" customWidth="1"/>
    <col min="11" max="11" width="7" customWidth="1"/>
    <col min="12" max="12" width="6" customWidth="1"/>
    <col min="13" max="13" width="10" customWidth="1"/>
    <col min="14" max="14" width="13" hidden="1" customWidth="1"/>
  </cols>
  <sheetData>
    <row r="1" spans="1:35" s="53" customFormat="1" ht="45" customHeight="1">
      <c r="A1" s="52" t="s">
        <v>181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</row>
    <row r="2" spans="1:35" ht="29.25" customHeight="1">
      <c r="B2" s="56" t="s">
        <v>183</v>
      </c>
    </row>
    <row r="3" spans="1:35" ht="10.5" customHeight="1">
      <c r="B3" s="54" t="s">
        <v>137</v>
      </c>
      <c r="C3" s="54"/>
      <c r="D3" s="54"/>
      <c r="E3" s="54"/>
    </row>
    <row r="4" spans="1:35" ht="10.5" customHeight="1">
      <c r="B4" s="54"/>
      <c r="C4" s="54"/>
      <c r="D4" s="54"/>
      <c r="E4" s="54"/>
    </row>
    <row r="5" spans="1:35" ht="10.5" customHeight="1">
      <c r="B5" s="55"/>
      <c r="C5" s="55"/>
      <c r="D5" s="55"/>
      <c r="E5" s="55"/>
    </row>
    <row r="6" spans="1:35" ht="19.5" customHeight="1">
      <c r="B6" s="5" t="s">
        <v>138</v>
      </c>
      <c r="C6" s="5"/>
      <c r="D6" s="5"/>
      <c r="E6" s="5" t="s">
        <v>139</v>
      </c>
      <c r="F6" s="5"/>
      <c r="G6" s="5"/>
      <c r="H6" s="5" t="s">
        <v>140</v>
      </c>
      <c r="I6" s="5"/>
    </row>
    <row r="7" spans="1:35" ht="30" customHeight="1">
      <c r="B7" s="1">
        <f ca="1">COUNTIF($C$9:$C$58,"期限切れ")</f>
        <v>1</v>
      </c>
      <c r="C7" s="1"/>
      <c r="D7" s="1"/>
      <c r="E7" s="1">
        <f ca="1">COUNTIF($C$9:$C$58,"期限間近")</f>
        <v>3</v>
      </c>
      <c r="F7" s="1"/>
      <c r="G7" s="1"/>
      <c r="H7" s="2">
        <f ca="1">SUM($M$9:$M$58)</f>
        <v>10350</v>
      </c>
      <c r="I7" s="2"/>
    </row>
    <row r="8" spans="1:35" ht="30" customHeight="1">
      <c r="B8" s="6" t="s">
        <v>141</v>
      </c>
      <c r="C8" s="7" t="s">
        <v>29</v>
      </c>
      <c r="D8" s="7" t="s">
        <v>142</v>
      </c>
      <c r="E8" s="7" t="s">
        <v>143</v>
      </c>
      <c r="F8" s="7" t="s">
        <v>144</v>
      </c>
      <c r="G8" s="7" t="s">
        <v>9</v>
      </c>
      <c r="H8" s="7" t="s">
        <v>10</v>
      </c>
      <c r="I8" s="7" t="s">
        <v>13</v>
      </c>
      <c r="J8" s="7" t="s">
        <v>15</v>
      </c>
      <c r="K8" s="7" t="s">
        <v>145</v>
      </c>
      <c r="L8" s="7" t="s">
        <v>14</v>
      </c>
      <c r="M8" s="7" t="s">
        <v>102</v>
      </c>
    </row>
    <row r="9" spans="1:35">
      <c r="B9" s="23">
        <f ca="1">IF($N9="","",1)</f>
        <v>1</v>
      </c>
      <c r="C9" s="24" t="str">
        <f t="shared" ref="C9:C40" ca="1" si="0">IF($N9="","",IF(E9&lt;0,"期限切れ","期限間近"))</f>
        <v>期限切れ</v>
      </c>
      <c r="D9" s="25">
        <f ca="1">IF($N9="","",INDEX(入出庫履歴!$K$10:$K$1009,$N9))</f>
        <v>46320</v>
      </c>
      <c r="E9" s="26">
        <f ca="1">IF($N9="","",INDEX(入出庫履歴!$O$10:$O$1009,$N9))</f>
        <v>-6</v>
      </c>
      <c r="F9" s="23" t="str">
        <f ca="1">IF($N9="","",INDEX(入出庫履歴!$L$10:$L$1009,$N9))</f>
        <v>MT-001-0005</v>
      </c>
      <c r="G9" s="23" t="str">
        <f ca="1">IF($N9="","",INDEX(入出庫履歴!$E$10:$E$1009,$N9))</f>
        <v>MT-001</v>
      </c>
      <c r="H9" s="27" t="str">
        <f ca="1">IF($N9="","",INDEX(入出庫履歴!$F$10:$F$1009,$N9))</f>
        <v>鶏もも肉</v>
      </c>
      <c r="I9" s="23" t="str">
        <f ca="1">IF($N9="","",IFERROR(INDEX(食材マスタ!$G$10:$G$309,MATCH(G9,食材マスタ!$C$10:$C$309,0)),""))</f>
        <v>冷蔵</v>
      </c>
      <c r="J9" s="23" t="str">
        <f ca="1">IF($N9="","",IFERROR(INDEX(食材マスタ!$I$10:$I$309,MATCH(G9,食材マスタ!$C$10:$C$309,0)),""))</f>
        <v>冷蔵庫1</v>
      </c>
      <c r="K9" s="28">
        <f ca="1">IF($N9="","",INDEX(入出庫履歴!$N$10:$N$1009,$N9))</f>
        <v>2</v>
      </c>
      <c r="L9" s="23" t="str">
        <f ca="1">IF($N9="","",INDEX(入出庫履歴!$H$10:$H$1009,$N9))</f>
        <v>kg</v>
      </c>
      <c r="M9" s="29">
        <f ca="1">IF($N9="","",ROUND(K9*INDEX(入出庫履歴!$I$10:$I$1009,$N9),0))</f>
        <v>1960</v>
      </c>
      <c r="N9">
        <f ca="1">IFERROR(MATCH(1,入出庫履歴!$V$10:$V$1009,0),"")</f>
        <v>5</v>
      </c>
    </row>
    <row r="10" spans="1:35">
      <c r="B10" s="23">
        <f ca="1">IF($N10="","",2)</f>
        <v>2</v>
      </c>
      <c r="C10" s="24" t="str">
        <f t="shared" ca="1" si="0"/>
        <v>期限間近</v>
      </c>
      <c r="D10" s="25">
        <f ca="1">IF($N10="","",INDEX(入出庫履歴!$K$10:$K$1009,$N10))</f>
        <v>46329</v>
      </c>
      <c r="E10" s="26">
        <f ca="1">IF($N10="","",INDEX(入出庫履歴!$O$10:$O$1009,$N10))</f>
        <v>3</v>
      </c>
      <c r="F10" s="23" t="str">
        <f ca="1">IF($N10="","",INDEX(入出庫履歴!$L$10:$L$1009,$N10))</f>
        <v>VG-002-0010</v>
      </c>
      <c r="G10" s="23" t="str">
        <f ca="1">IF($N10="","",INDEX(入出庫履歴!$E$10:$E$1009,$N10))</f>
        <v>VG-002</v>
      </c>
      <c r="H10" s="27" t="str">
        <f ca="1">IF($N10="","",INDEX(入出庫履歴!$F$10:$F$1009,$N10))</f>
        <v>キャベツ</v>
      </c>
      <c r="I10" s="23" t="str">
        <f ca="1">IF($N10="","",IFERROR(INDEX(食材マスタ!$G$10:$G$309,MATCH(G10,食材マスタ!$C$10:$C$309,0)),""))</f>
        <v>冷蔵</v>
      </c>
      <c r="J10" s="23" t="str">
        <f ca="1">IF($N10="","",IFERROR(INDEX(食材マスタ!$I$10:$I$309,MATCH(G10,食材マスタ!$C$10:$C$309,0)),""))</f>
        <v>冷蔵庫2</v>
      </c>
      <c r="K10" s="28">
        <f ca="1">IF($N10="","",INDEX(入出庫履歴!$N$10:$N$1009,$N10))</f>
        <v>9</v>
      </c>
      <c r="L10" s="23" t="str">
        <f ca="1">IF($N10="","",INDEX(入出庫履歴!$H$10:$H$1009,$N10))</f>
        <v>個</v>
      </c>
      <c r="M10" s="29">
        <f ca="1">IF($N10="","",ROUND(K10*INDEX(入出庫履歴!$I$10:$I$1009,$N10),0))</f>
        <v>1620</v>
      </c>
      <c r="N10">
        <f ca="1">IFERROR(MATCH(2,入出庫履歴!$V$10:$V$1009,0),"")</f>
        <v>10</v>
      </c>
    </row>
    <row r="11" spans="1:35">
      <c r="B11" s="23">
        <f ca="1">IF($N11="","",3)</f>
        <v>3</v>
      </c>
      <c r="C11" s="24" t="str">
        <f t="shared" ca="1" si="0"/>
        <v>期限間近</v>
      </c>
      <c r="D11" s="25">
        <f ca="1">IF($N11="","",INDEX(入出庫履歴!$K$10:$K$1009,$N11))</f>
        <v>46327</v>
      </c>
      <c r="E11" s="26">
        <f ca="1">IF($N11="","",INDEX(入出庫履歴!$O$10:$O$1009,$N11))</f>
        <v>1</v>
      </c>
      <c r="F11" s="23" t="str">
        <f ca="1">IF($N11="","",INDEX(入出庫履歴!$L$10:$L$1009,$N11))</f>
        <v>MT-001-0011</v>
      </c>
      <c r="G11" s="23" t="str">
        <f ca="1">IF($N11="","",INDEX(入出庫履歴!$E$10:$E$1009,$N11))</f>
        <v>MT-001</v>
      </c>
      <c r="H11" s="27" t="str">
        <f ca="1">IF($N11="","",INDEX(入出庫履歴!$F$10:$F$1009,$N11))</f>
        <v>鶏もも肉</v>
      </c>
      <c r="I11" s="23" t="str">
        <f ca="1">IF($N11="","",IFERROR(INDEX(食材マスタ!$G$10:$G$309,MATCH(G11,食材マスタ!$C$10:$C$309,0)),""))</f>
        <v>冷蔵</v>
      </c>
      <c r="J11" s="23" t="str">
        <f ca="1">IF($N11="","",IFERROR(INDEX(食材マスタ!$I$10:$I$309,MATCH(G11,食材マスタ!$C$10:$C$309,0)),""))</f>
        <v>冷蔵庫1</v>
      </c>
      <c r="K11" s="28">
        <f ca="1">IF($N11="","",INDEX(入出庫履歴!$N$10:$N$1009,$N11))</f>
        <v>5.5</v>
      </c>
      <c r="L11" s="23" t="str">
        <f ca="1">IF($N11="","",INDEX(入出庫履歴!$H$10:$H$1009,$N11))</f>
        <v>kg</v>
      </c>
      <c r="M11" s="29">
        <f ca="1">IF($N11="","",ROUND(K11*INDEX(入出庫履歴!$I$10:$I$1009,$N11),0))</f>
        <v>5390</v>
      </c>
      <c r="N11">
        <f ca="1">IFERROR(MATCH(3,入出庫履歴!$V$10:$V$1009,0),"")</f>
        <v>11</v>
      </c>
    </row>
    <row r="12" spans="1:35">
      <c r="B12" s="23">
        <f ca="1">IF($N12="","",4)</f>
        <v>4</v>
      </c>
      <c r="C12" s="24" t="str">
        <f t="shared" ca="1" si="0"/>
        <v>期限間近</v>
      </c>
      <c r="D12" s="25">
        <f ca="1">IF($N12="","",INDEX(入出庫履歴!$K$10:$K$1009,$N12))</f>
        <v>46328</v>
      </c>
      <c r="E12" s="26">
        <f ca="1">IF($N12="","",INDEX(入出庫履歴!$O$10:$O$1009,$N12))</f>
        <v>2</v>
      </c>
      <c r="F12" s="23" t="str">
        <f ca="1">IF($N12="","",INDEX(入出庫履歴!$L$10:$L$1009,$N12))</f>
        <v>DY-001-0012</v>
      </c>
      <c r="G12" s="23" t="str">
        <f ca="1">IF($N12="","",INDEX(入出庫履歴!$E$10:$E$1009,$N12))</f>
        <v>DY-001</v>
      </c>
      <c r="H12" s="27" t="str">
        <f ca="1">IF($N12="","",INDEX(入出庫履歴!$F$10:$F$1009,$N12))</f>
        <v>牛乳</v>
      </c>
      <c r="I12" s="23" t="str">
        <f ca="1">IF($N12="","",IFERROR(INDEX(食材マスタ!$G$10:$G$309,MATCH(G12,食材マスタ!$C$10:$C$309,0)),""))</f>
        <v>冷蔵</v>
      </c>
      <c r="J12" s="23" t="str">
        <f ca="1">IF($N12="","",IFERROR(INDEX(食材マスタ!$I$10:$I$309,MATCH(G12,食材マスタ!$C$10:$C$309,0)),""))</f>
        <v>冷蔵庫2</v>
      </c>
      <c r="K12" s="28">
        <f ca="1">IF($N12="","",INDEX(入出庫履歴!$N$10:$N$1009,$N12))</f>
        <v>6</v>
      </c>
      <c r="L12" s="23" t="str">
        <f ca="1">IF($N12="","",INDEX(入出庫履歴!$H$10:$H$1009,$N12))</f>
        <v>本</v>
      </c>
      <c r="M12" s="29">
        <f ca="1">IF($N12="","",ROUND(K12*INDEX(入出庫履歴!$I$10:$I$1009,$N12),0))</f>
        <v>1380</v>
      </c>
      <c r="N12">
        <f ca="1">IFERROR(MATCH(4,入出庫履歴!$V$10:$V$1009,0),"")</f>
        <v>12</v>
      </c>
    </row>
    <row r="13" spans="1:35">
      <c r="B13" s="23" t="str">
        <f ca="1">IF($N13="","",5)</f>
        <v/>
      </c>
      <c r="C13" s="24" t="str">
        <f t="shared" ca="1" si="0"/>
        <v/>
      </c>
      <c r="D13" s="25" t="str">
        <f ca="1">IF($N13="","",INDEX(入出庫履歴!$K$10:$K$1009,$N13))</f>
        <v/>
      </c>
      <c r="E13" s="26" t="str">
        <f ca="1">IF($N13="","",INDEX(入出庫履歴!$O$10:$O$1009,$N13))</f>
        <v/>
      </c>
      <c r="F13" s="23" t="str">
        <f ca="1">IF($N13="","",INDEX(入出庫履歴!$L$10:$L$1009,$N13))</f>
        <v/>
      </c>
      <c r="G13" s="23" t="str">
        <f ca="1">IF($N13="","",INDEX(入出庫履歴!$E$10:$E$1009,$N13))</f>
        <v/>
      </c>
      <c r="H13" s="27" t="str">
        <f ca="1">IF($N13="","",INDEX(入出庫履歴!$F$10:$F$1009,$N13))</f>
        <v/>
      </c>
      <c r="I13" s="23" t="str">
        <f ca="1">IF($N13="","",IFERROR(INDEX(食材マスタ!$G$10:$G$309,MATCH(G13,食材マスタ!$C$10:$C$309,0)),""))</f>
        <v/>
      </c>
      <c r="J13" s="23" t="str">
        <f ca="1">IF($N13="","",IFERROR(INDEX(食材マスタ!$I$10:$I$309,MATCH(G13,食材マスタ!$C$10:$C$309,0)),""))</f>
        <v/>
      </c>
      <c r="K13" s="28" t="str">
        <f ca="1">IF($N13="","",INDEX(入出庫履歴!$N$10:$N$1009,$N13))</f>
        <v/>
      </c>
      <c r="L13" s="23" t="str">
        <f ca="1">IF($N13="","",INDEX(入出庫履歴!$H$10:$H$1009,$N13))</f>
        <v/>
      </c>
      <c r="M13" s="29" t="str">
        <f ca="1">IF($N13="","",ROUND(K13*INDEX(入出庫履歴!$I$10:$I$1009,$N13),0))</f>
        <v/>
      </c>
      <c r="N13" t="str">
        <f ca="1">IFERROR(MATCH(5,入出庫履歴!$V$10:$V$1009,0),"")</f>
        <v/>
      </c>
    </row>
    <row r="14" spans="1:35">
      <c r="B14" s="23" t="str">
        <f ca="1">IF($N14="","",6)</f>
        <v/>
      </c>
      <c r="C14" s="24" t="str">
        <f t="shared" ca="1" si="0"/>
        <v/>
      </c>
      <c r="D14" s="25" t="str">
        <f ca="1">IF($N14="","",INDEX(入出庫履歴!$K$10:$K$1009,$N14))</f>
        <v/>
      </c>
      <c r="E14" s="26" t="str">
        <f ca="1">IF($N14="","",INDEX(入出庫履歴!$O$10:$O$1009,$N14))</f>
        <v/>
      </c>
      <c r="F14" s="23" t="str">
        <f ca="1">IF($N14="","",INDEX(入出庫履歴!$L$10:$L$1009,$N14))</f>
        <v/>
      </c>
      <c r="G14" s="23" t="str">
        <f ca="1">IF($N14="","",INDEX(入出庫履歴!$E$10:$E$1009,$N14))</f>
        <v/>
      </c>
      <c r="H14" s="27" t="str">
        <f ca="1">IF($N14="","",INDEX(入出庫履歴!$F$10:$F$1009,$N14))</f>
        <v/>
      </c>
      <c r="I14" s="23" t="str">
        <f ca="1">IF($N14="","",IFERROR(INDEX(食材マスタ!$G$10:$G$309,MATCH(G14,食材マスタ!$C$10:$C$309,0)),""))</f>
        <v/>
      </c>
      <c r="J14" s="23" t="str">
        <f ca="1">IF($N14="","",IFERROR(INDEX(食材マスタ!$I$10:$I$309,MATCH(G14,食材マスタ!$C$10:$C$309,0)),""))</f>
        <v/>
      </c>
      <c r="K14" s="28" t="str">
        <f ca="1">IF($N14="","",INDEX(入出庫履歴!$N$10:$N$1009,$N14))</f>
        <v/>
      </c>
      <c r="L14" s="23" t="str">
        <f ca="1">IF($N14="","",INDEX(入出庫履歴!$H$10:$H$1009,$N14))</f>
        <v/>
      </c>
      <c r="M14" s="29" t="str">
        <f ca="1">IF($N14="","",ROUND(K14*INDEX(入出庫履歴!$I$10:$I$1009,$N14),0))</f>
        <v/>
      </c>
      <c r="N14" t="str">
        <f ca="1">IFERROR(MATCH(6,入出庫履歴!$V$10:$V$1009,0),"")</f>
        <v/>
      </c>
    </row>
    <row r="15" spans="1:35">
      <c r="B15" s="23" t="str">
        <f ca="1">IF($N15="","",7)</f>
        <v/>
      </c>
      <c r="C15" s="24" t="str">
        <f t="shared" ca="1" si="0"/>
        <v/>
      </c>
      <c r="D15" s="25" t="str">
        <f ca="1">IF($N15="","",INDEX(入出庫履歴!$K$10:$K$1009,$N15))</f>
        <v/>
      </c>
      <c r="E15" s="26" t="str">
        <f ca="1">IF($N15="","",INDEX(入出庫履歴!$O$10:$O$1009,$N15))</f>
        <v/>
      </c>
      <c r="F15" s="23" t="str">
        <f ca="1">IF($N15="","",INDEX(入出庫履歴!$L$10:$L$1009,$N15))</f>
        <v/>
      </c>
      <c r="G15" s="23" t="str">
        <f ca="1">IF($N15="","",INDEX(入出庫履歴!$E$10:$E$1009,$N15))</f>
        <v/>
      </c>
      <c r="H15" s="27" t="str">
        <f ca="1">IF($N15="","",INDEX(入出庫履歴!$F$10:$F$1009,$N15))</f>
        <v/>
      </c>
      <c r="I15" s="23" t="str">
        <f ca="1">IF($N15="","",IFERROR(INDEX(食材マスタ!$G$10:$G$309,MATCH(G15,食材マスタ!$C$10:$C$309,0)),""))</f>
        <v/>
      </c>
      <c r="J15" s="23" t="str">
        <f ca="1">IF($N15="","",IFERROR(INDEX(食材マスタ!$I$10:$I$309,MATCH(G15,食材マスタ!$C$10:$C$309,0)),""))</f>
        <v/>
      </c>
      <c r="K15" s="28" t="str">
        <f ca="1">IF($N15="","",INDEX(入出庫履歴!$N$10:$N$1009,$N15))</f>
        <v/>
      </c>
      <c r="L15" s="23" t="str">
        <f ca="1">IF($N15="","",INDEX(入出庫履歴!$H$10:$H$1009,$N15))</f>
        <v/>
      </c>
      <c r="M15" s="29" t="str">
        <f ca="1">IF($N15="","",ROUND(K15*INDEX(入出庫履歴!$I$10:$I$1009,$N15),0))</f>
        <v/>
      </c>
      <c r="N15" t="str">
        <f ca="1">IFERROR(MATCH(7,入出庫履歴!$V$10:$V$1009,0),"")</f>
        <v/>
      </c>
    </row>
    <row r="16" spans="1:35">
      <c r="B16" s="23" t="str">
        <f ca="1">IF($N16="","",8)</f>
        <v/>
      </c>
      <c r="C16" s="24" t="str">
        <f t="shared" ca="1" si="0"/>
        <v/>
      </c>
      <c r="D16" s="25" t="str">
        <f ca="1">IF($N16="","",INDEX(入出庫履歴!$K$10:$K$1009,$N16))</f>
        <v/>
      </c>
      <c r="E16" s="26" t="str">
        <f ca="1">IF($N16="","",INDEX(入出庫履歴!$O$10:$O$1009,$N16))</f>
        <v/>
      </c>
      <c r="F16" s="23" t="str">
        <f ca="1">IF($N16="","",INDEX(入出庫履歴!$L$10:$L$1009,$N16))</f>
        <v/>
      </c>
      <c r="G16" s="23" t="str">
        <f ca="1">IF($N16="","",INDEX(入出庫履歴!$E$10:$E$1009,$N16))</f>
        <v/>
      </c>
      <c r="H16" s="27" t="str">
        <f ca="1">IF($N16="","",INDEX(入出庫履歴!$F$10:$F$1009,$N16))</f>
        <v/>
      </c>
      <c r="I16" s="23" t="str">
        <f ca="1">IF($N16="","",IFERROR(INDEX(食材マスタ!$G$10:$G$309,MATCH(G16,食材マスタ!$C$10:$C$309,0)),""))</f>
        <v/>
      </c>
      <c r="J16" s="23" t="str">
        <f ca="1">IF($N16="","",IFERROR(INDEX(食材マスタ!$I$10:$I$309,MATCH(G16,食材マスタ!$C$10:$C$309,0)),""))</f>
        <v/>
      </c>
      <c r="K16" s="28" t="str">
        <f ca="1">IF($N16="","",INDEX(入出庫履歴!$N$10:$N$1009,$N16))</f>
        <v/>
      </c>
      <c r="L16" s="23" t="str">
        <f ca="1">IF($N16="","",INDEX(入出庫履歴!$H$10:$H$1009,$N16))</f>
        <v/>
      </c>
      <c r="M16" s="29" t="str">
        <f ca="1">IF($N16="","",ROUND(K16*INDEX(入出庫履歴!$I$10:$I$1009,$N16),0))</f>
        <v/>
      </c>
      <c r="N16" t="str">
        <f ca="1">IFERROR(MATCH(8,入出庫履歴!$V$10:$V$1009,0),"")</f>
        <v/>
      </c>
    </row>
    <row r="17" spans="2:14">
      <c r="B17" s="23" t="str">
        <f ca="1">IF($N17="","",9)</f>
        <v/>
      </c>
      <c r="C17" s="24" t="str">
        <f t="shared" ca="1" si="0"/>
        <v/>
      </c>
      <c r="D17" s="25" t="str">
        <f ca="1">IF($N17="","",INDEX(入出庫履歴!$K$10:$K$1009,$N17))</f>
        <v/>
      </c>
      <c r="E17" s="26" t="str">
        <f ca="1">IF($N17="","",INDEX(入出庫履歴!$O$10:$O$1009,$N17))</f>
        <v/>
      </c>
      <c r="F17" s="23" t="str">
        <f ca="1">IF($N17="","",INDEX(入出庫履歴!$L$10:$L$1009,$N17))</f>
        <v/>
      </c>
      <c r="G17" s="23" t="str">
        <f ca="1">IF($N17="","",INDEX(入出庫履歴!$E$10:$E$1009,$N17))</f>
        <v/>
      </c>
      <c r="H17" s="27" t="str">
        <f ca="1">IF($N17="","",INDEX(入出庫履歴!$F$10:$F$1009,$N17))</f>
        <v/>
      </c>
      <c r="I17" s="23" t="str">
        <f ca="1">IF($N17="","",IFERROR(INDEX(食材マスタ!$G$10:$G$309,MATCH(G17,食材マスタ!$C$10:$C$309,0)),""))</f>
        <v/>
      </c>
      <c r="J17" s="23" t="str">
        <f ca="1">IF($N17="","",IFERROR(INDEX(食材マスタ!$I$10:$I$309,MATCH(G17,食材マスタ!$C$10:$C$309,0)),""))</f>
        <v/>
      </c>
      <c r="K17" s="28" t="str">
        <f ca="1">IF($N17="","",INDEX(入出庫履歴!$N$10:$N$1009,$N17))</f>
        <v/>
      </c>
      <c r="L17" s="23" t="str">
        <f ca="1">IF($N17="","",INDEX(入出庫履歴!$H$10:$H$1009,$N17))</f>
        <v/>
      </c>
      <c r="M17" s="29" t="str">
        <f ca="1">IF($N17="","",ROUND(K17*INDEX(入出庫履歴!$I$10:$I$1009,$N17),0))</f>
        <v/>
      </c>
      <c r="N17" t="str">
        <f ca="1">IFERROR(MATCH(9,入出庫履歴!$V$10:$V$1009,0),"")</f>
        <v/>
      </c>
    </row>
    <row r="18" spans="2:14">
      <c r="B18" s="23" t="str">
        <f ca="1">IF($N18="","",10)</f>
        <v/>
      </c>
      <c r="C18" s="24" t="str">
        <f t="shared" ca="1" si="0"/>
        <v/>
      </c>
      <c r="D18" s="25" t="str">
        <f ca="1">IF($N18="","",INDEX(入出庫履歴!$K$10:$K$1009,$N18))</f>
        <v/>
      </c>
      <c r="E18" s="26" t="str">
        <f ca="1">IF($N18="","",INDEX(入出庫履歴!$O$10:$O$1009,$N18))</f>
        <v/>
      </c>
      <c r="F18" s="23" t="str">
        <f ca="1">IF($N18="","",INDEX(入出庫履歴!$L$10:$L$1009,$N18))</f>
        <v/>
      </c>
      <c r="G18" s="23" t="str">
        <f ca="1">IF($N18="","",INDEX(入出庫履歴!$E$10:$E$1009,$N18))</f>
        <v/>
      </c>
      <c r="H18" s="27" t="str">
        <f ca="1">IF($N18="","",INDEX(入出庫履歴!$F$10:$F$1009,$N18))</f>
        <v/>
      </c>
      <c r="I18" s="23" t="str">
        <f ca="1">IF($N18="","",IFERROR(INDEX(食材マスタ!$G$10:$G$309,MATCH(G18,食材マスタ!$C$10:$C$309,0)),""))</f>
        <v/>
      </c>
      <c r="J18" s="23" t="str">
        <f ca="1">IF($N18="","",IFERROR(INDEX(食材マスタ!$I$10:$I$309,MATCH(G18,食材マスタ!$C$10:$C$309,0)),""))</f>
        <v/>
      </c>
      <c r="K18" s="28" t="str">
        <f ca="1">IF($N18="","",INDEX(入出庫履歴!$N$10:$N$1009,$N18))</f>
        <v/>
      </c>
      <c r="L18" s="23" t="str">
        <f ca="1">IF($N18="","",INDEX(入出庫履歴!$H$10:$H$1009,$N18))</f>
        <v/>
      </c>
      <c r="M18" s="29" t="str">
        <f ca="1">IF($N18="","",ROUND(K18*INDEX(入出庫履歴!$I$10:$I$1009,$N18),0))</f>
        <v/>
      </c>
      <c r="N18" t="str">
        <f ca="1">IFERROR(MATCH(10,入出庫履歴!$V$10:$V$1009,0),"")</f>
        <v/>
      </c>
    </row>
    <row r="19" spans="2:14">
      <c r="B19" s="23" t="str">
        <f ca="1">IF($N19="","",11)</f>
        <v/>
      </c>
      <c r="C19" s="24" t="str">
        <f t="shared" ca="1" si="0"/>
        <v/>
      </c>
      <c r="D19" s="25" t="str">
        <f ca="1">IF($N19="","",INDEX(入出庫履歴!$K$10:$K$1009,$N19))</f>
        <v/>
      </c>
      <c r="E19" s="26" t="str">
        <f ca="1">IF($N19="","",INDEX(入出庫履歴!$O$10:$O$1009,$N19))</f>
        <v/>
      </c>
      <c r="F19" s="23" t="str">
        <f ca="1">IF($N19="","",INDEX(入出庫履歴!$L$10:$L$1009,$N19))</f>
        <v/>
      </c>
      <c r="G19" s="23" t="str">
        <f ca="1">IF($N19="","",INDEX(入出庫履歴!$E$10:$E$1009,$N19))</f>
        <v/>
      </c>
      <c r="H19" s="27" t="str">
        <f ca="1">IF($N19="","",INDEX(入出庫履歴!$F$10:$F$1009,$N19))</f>
        <v/>
      </c>
      <c r="I19" s="23" t="str">
        <f ca="1">IF($N19="","",IFERROR(INDEX(食材マスタ!$G$10:$G$309,MATCH(G19,食材マスタ!$C$10:$C$309,0)),""))</f>
        <v/>
      </c>
      <c r="J19" s="23" t="str">
        <f ca="1">IF($N19="","",IFERROR(INDEX(食材マスタ!$I$10:$I$309,MATCH(G19,食材マスタ!$C$10:$C$309,0)),""))</f>
        <v/>
      </c>
      <c r="K19" s="28" t="str">
        <f ca="1">IF($N19="","",INDEX(入出庫履歴!$N$10:$N$1009,$N19))</f>
        <v/>
      </c>
      <c r="L19" s="23" t="str">
        <f ca="1">IF($N19="","",INDEX(入出庫履歴!$H$10:$H$1009,$N19))</f>
        <v/>
      </c>
      <c r="M19" s="29" t="str">
        <f ca="1">IF($N19="","",ROUND(K19*INDEX(入出庫履歴!$I$10:$I$1009,$N19),0))</f>
        <v/>
      </c>
      <c r="N19" t="str">
        <f ca="1">IFERROR(MATCH(11,入出庫履歴!$V$10:$V$1009,0),"")</f>
        <v/>
      </c>
    </row>
    <row r="20" spans="2:14">
      <c r="B20" s="23" t="str">
        <f ca="1">IF($N20="","",12)</f>
        <v/>
      </c>
      <c r="C20" s="24" t="str">
        <f t="shared" ca="1" si="0"/>
        <v/>
      </c>
      <c r="D20" s="25" t="str">
        <f ca="1">IF($N20="","",INDEX(入出庫履歴!$K$10:$K$1009,$N20))</f>
        <v/>
      </c>
      <c r="E20" s="26" t="str">
        <f ca="1">IF($N20="","",INDEX(入出庫履歴!$O$10:$O$1009,$N20))</f>
        <v/>
      </c>
      <c r="F20" s="23" t="str">
        <f ca="1">IF($N20="","",INDEX(入出庫履歴!$L$10:$L$1009,$N20))</f>
        <v/>
      </c>
      <c r="G20" s="23" t="str">
        <f ca="1">IF($N20="","",INDEX(入出庫履歴!$E$10:$E$1009,$N20))</f>
        <v/>
      </c>
      <c r="H20" s="27" t="str">
        <f ca="1">IF($N20="","",INDEX(入出庫履歴!$F$10:$F$1009,$N20))</f>
        <v/>
      </c>
      <c r="I20" s="23" t="str">
        <f ca="1">IF($N20="","",IFERROR(INDEX(食材マスタ!$G$10:$G$309,MATCH(G20,食材マスタ!$C$10:$C$309,0)),""))</f>
        <v/>
      </c>
      <c r="J20" s="23" t="str">
        <f ca="1">IF($N20="","",IFERROR(INDEX(食材マスタ!$I$10:$I$309,MATCH(G20,食材マスタ!$C$10:$C$309,0)),""))</f>
        <v/>
      </c>
      <c r="K20" s="28" t="str">
        <f ca="1">IF($N20="","",INDEX(入出庫履歴!$N$10:$N$1009,$N20))</f>
        <v/>
      </c>
      <c r="L20" s="23" t="str">
        <f ca="1">IF($N20="","",INDEX(入出庫履歴!$H$10:$H$1009,$N20))</f>
        <v/>
      </c>
      <c r="M20" s="29" t="str">
        <f ca="1">IF($N20="","",ROUND(K20*INDEX(入出庫履歴!$I$10:$I$1009,$N20),0))</f>
        <v/>
      </c>
      <c r="N20" t="str">
        <f ca="1">IFERROR(MATCH(12,入出庫履歴!$V$10:$V$1009,0),"")</f>
        <v/>
      </c>
    </row>
    <row r="21" spans="2:14">
      <c r="B21" s="23" t="str">
        <f ca="1">IF($N21="","",13)</f>
        <v/>
      </c>
      <c r="C21" s="24" t="str">
        <f t="shared" ca="1" si="0"/>
        <v/>
      </c>
      <c r="D21" s="25" t="str">
        <f ca="1">IF($N21="","",INDEX(入出庫履歴!$K$10:$K$1009,$N21))</f>
        <v/>
      </c>
      <c r="E21" s="26" t="str">
        <f ca="1">IF($N21="","",INDEX(入出庫履歴!$O$10:$O$1009,$N21))</f>
        <v/>
      </c>
      <c r="F21" s="23" t="str">
        <f ca="1">IF($N21="","",INDEX(入出庫履歴!$L$10:$L$1009,$N21))</f>
        <v/>
      </c>
      <c r="G21" s="23" t="str">
        <f ca="1">IF($N21="","",INDEX(入出庫履歴!$E$10:$E$1009,$N21))</f>
        <v/>
      </c>
      <c r="H21" s="27" t="str">
        <f ca="1">IF($N21="","",INDEX(入出庫履歴!$F$10:$F$1009,$N21))</f>
        <v/>
      </c>
      <c r="I21" s="23" t="str">
        <f ca="1">IF($N21="","",IFERROR(INDEX(食材マスタ!$G$10:$G$309,MATCH(G21,食材マスタ!$C$10:$C$309,0)),""))</f>
        <v/>
      </c>
      <c r="J21" s="23" t="str">
        <f ca="1">IF($N21="","",IFERROR(INDEX(食材マスタ!$I$10:$I$309,MATCH(G21,食材マスタ!$C$10:$C$309,0)),""))</f>
        <v/>
      </c>
      <c r="K21" s="28" t="str">
        <f ca="1">IF($N21="","",INDEX(入出庫履歴!$N$10:$N$1009,$N21))</f>
        <v/>
      </c>
      <c r="L21" s="23" t="str">
        <f ca="1">IF($N21="","",INDEX(入出庫履歴!$H$10:$H$1009,$N21))</f>
        <v/>
      </c>
      <c r="M21" s="29" t="str">
        <f ca="1">IF($N21="","",ROUND(K21*INDEX(入出庫履歴!$I$10:$I$1009,$N21),0))</f>
        <v/>
      </c>
      <c r="N21" t="str">
        <f ca="1">IFERROR(MATCH(13,入出庫履歴!$V$10:$V$1009,0),"")</f>
        <v/>
      </c>
    </row>
    <row r="22" spans="2:14">
      <c r="B22" s="23" t="str">
        <f ca="1">IF($N22="","",14)</f>
        <v/>
      </c>
      <c r="C22" s="24" t="str">
        <f t="shared" ca="1" si="0"/>
        <v/>
      </c>
      <c r="D22" s="25" t="str">
        <f ca="1">IF($N22="","",INDEX(入出庫履歴!$K$10:$K$1009,$N22))</f>
        <v/>
      </c>
      <c r="E22" s="26" t="str">
        <f ca="1">IF($N22="","",INDEX(入出庫履歴!$O$10:$O$1009,$N22))</f>
        <v/>
      </c>
      <c r="F22" s="23" t="str">
        <f ca="1">IF($N22="","",INDEX(入出庫履歴!$L$10:$L$1009,$N22))</f>
        <v/>
      </c>
      <c r="G22" s="23" t="str">
        <f ca="1">IF($N22="","",INDEX(入出庫履歴!$E$10:$E$1009,$N22))</f>
        <v/>
      </c>
      <c r="H22" s="27" t="str">
        <f ca="1">IF($N22="","",INDEX(入出庫履歴!$F$10:$F$1009,$N22))</f>
        <v/>
      </c>
      <c r="I22" s="23" t="str">
        <f ca="1">IF($N22="","",IFERROR(INDEX(食材マスタ!$G$10:$G$309,MATCH(G22,食材マスタ!$C$10:$C$309,0)),""))</f>
        <v/>
      </c>
      <c r="J22" s="23" t="str">
        <f ca="1">IF($N22="","",IFERROR(INDEX(食材マスタ!$I$10:$I$309,MATCH(G22,食材マスタ!$C$10:$C$309,0)),""))</f>
        <v/>
      </c>
      <c r="K22" s="28" t="str">
        <f ca="1">IF($N22="","",INDEX(入出庫履歴!$N$10:$N$1009,$N22))</f>
        <v/>
      </c>
      <c r="L22" s="23" t="str">
        <f ca="1">IF($N22="","",INDEX(入出庫履歴!$H$10:$H$1009,$N22))</f>
        <v/>
      </c>
      <c r="M22" s="29" t="str">
        <f ca="1">IF($N22="","",ROUND(K22*INDEX(入出庫履歴!$I$10:$I$1009,$N22),0))</f>
        <v/>
      </c>
      <c r="N22" t="str">
        <f ca="1">IFERROR(MATCH(14,入出庫履歴!$V$10:$V$1009,0),"")</f>
        <v/>
      </c>
    </row>
    <row r="23" spans="2:14">
      <c r="B23" s="23" t="str">
        <f ca="1">IF($N23="","",15)</f>
        <v/>
      </c>
      <c r="C23" s="24" t="str">
        <f t="shared" ca="1" si="0"/>
        <v/>
      </c>
      <c r="D23" s="25" t="str">
        <f ca="1">IF($N23="","",INDEX(入出庫履歴!$K$10:$K$1009,$N23))</f>
        <v/>
      </c>
      <c r="E23" s="26" t="str">
        <f ca="1">IF($N23="","",INDEX(入出庫履歴!$O$10:$O$1009,$N23))</f>
        <v/>
      </c>
      <c r="F23" s="23" t="str">
        <f ca="1">IF($N23="","",INDEX(入出庫履歴!$L$10:$L$1009,$N23))</f>
        <v/>
      </c>
      <c r="G23" s="23" t="str">
        <f ca="1">IF($N23="","",INDEX(入出庫履歴!$E$10:$E$1009,$N23))</f>
        <v/>
      </c>
      <c r="H23" s="27" t="str">
        <f ca="1">IF($N23="","",INDEX(入出庫履歴!$F$10:$F$1009,$N23))</f>
        <v/>
      </c>
      <c r="I23" s="23" t="str">
        <f ca="1">IF($N23="","",IFERROR(INDEX(食材マスタ!$G$10:$G$309,MATCH(G23,食材マスタ!$C$10:$C$309,0)),""))</f>
        <v/>
      </c>
      <c r="J23" s="23" t="str">
        <f ca="1">IF($N23="","",IFERROR(INDEX(食材マスタ!$I$10:$I$309,MATCH(G23,食材マスタ!$C$10:$C$309,0)),""))</f>
        <v/>
      </c>
      <c r="K23" s="28" t="str">
        <f ca="1">IF($N23="","",INDEX(入出庫履歴!$N$10:$N$1009,$N23))</f>
        <v/>
      </c>
      <c r="L23" s="23" t="str">
        <f ca="1">IF($N23="","",INDEX(入出庫履歴!$H$10:$H$1009,$N23))</f>
        <v/>
      </c>
      <c r="M23" s="29" t="str">
        <f ca="1">IF($N23="","",ROUND(K23*INDEX(入出庫履歴!$I$10:$I$1009,$N23),0))</f>
        <v/>
      </c>
      <c r="N23" t="str">
        <f ca="1">IFERROR(MATCH(15,入出庫履歴!$V$10:$V$1009,0),"")</f>
        <v/>
      </c>
    </row>
    <row r="24" spans="2:14">
      <c r="B24" s="23" t="str">
        <f ca="1">IF($N24="","",16)</f>
        <v/>
      </c>
      <c r="C24" s="24" t="str">
        <f t="shared" ca="1" si="0"/>
        <v/>
      </c>
      <c r="D24" s="25" t="str">
        <f ca="1">IF($N24="","",INDEX(入出庫履歴!$K$10:$K$1009,$N24))</f>
        <v/>
      </c>
      <c r="E24" s="26" t="str">
        <f ca="1">IF($N24="","",INDEX(入出庫履歴!$O$10:$O$1009,$N24))</f>
        <v/>
      </c>
      <c r="F24" s="23" t="str">
        <f ca="1">IF($N24="","",INDEX(入出庫履歴!$L$10:$L$1009,$N24))</f>
        <v/>
      </c>
      <c r="G24" s="23" t="str">
        <f ca="1">IF($N24="","",INDEX(入出庫履歴!$E$10:$E$1009,$N24))</f>
        <v/>
      </c>
      <c r="H24" s="27" t="str">
        <f ca="1">IF($N24="","",INDEX(入出庫履歴!$F$10:$F$1009,$N24))</f>
        <v/>
      </c>
      <c r="I24" s="23" t="str">
        <f ca="1">IF($N24="","",IFERROR(INDEX(食材マスタ!$G$10:$G$309,MATCH(G24,食材マスタ!$C$10:$C$309,0)),""))</f>
        <v/>
      </c>
      <c r="J24" s="23" t="str">
        <f ca="1">IF($N24="","",IFERROR(INDEX(食材マスタ!$I$10:$I$309,MATCH(G24,食材マスタ!$C$10:$C$309,0)),""))</f>
        <v/>
      </c>
      <c r="K24" s="28" t="str">
        <f ca="1">IF($N24="","",INDEX(入出庫履歴!$N$10:$N$1009,$N24))</f>
        <v/>
      </c>
      <c r="L24" s="23" t="str">
        <f ca="1">IF($N24="","",INDEX(入出庫履歴!$H$10:$H$1009,$N24))</f>
        <v/>
      </c>
      <c r="M24" s="29" t="str">
        <f ca="1">IF($N24="","",ROUND(K24*INDEX(入出庫履歴!$I$10:$I$1009,$N24),0))</f>
        <v/>
      </c>
      <c r="N24" t="str">
        <f ca="1">IFERROR(MATCH(16,入出庫履歴!$V$10:$V$1009,0),"")</f>
        <v/>
      </c>
    </row>
    <row r="25" spans="2:14">
      <c r="B25" s="23" t="str">
        <f ca="1">IF($N25="","",17)</f>
        <v/>
      </c>
      <c r="C25" s="24" t="str">
        <f t="shared" ca="1" si="0"/>
        <v/>
      </c>
      <c r="D25" s="25" t="str">
        <f ca="1">IF($N25="","",INDEX(入出庫履歴!$K$10:$K$1009,$N25))</f>
        <v/>
      </c>
      <c r="E25" s="26" t="str">
        <f ca="1">IF($N25="","",INDEX(入出庫履歴!$O$10:$O$1009,$N25))</f>
        <v/>
      </c>
      <c r="F25" s="23" t="str">
        <f ca="1">IF($N25="","",INDEX(入出庫履歴!$L$10:$L$1009,$N25))</f>
        <v/>
      </c>
      <c r="G25" s="23" t="str">
        <f ca="1">IF($N25="","",INDEX(入出庫履歴!$E$10:$E$1009,$N25))</f>
        <v/>
      </c>
      <c r="H25" s="27" t="str">
        <f ca="1">IF($N25="","",INDEX(入出庫履歴!$F$10:$F$1009,$N25))</f>
        <v/>
      </c>
      <c r="I25" s="23" t="str">
        <f ca="1">IF($N25="","",IFERROR(INDEX(食材マスタ!$G$10:$G$309,MATCH(G25,食材マスタ!$C$10:$C$309,0)),""))</f>
        <v/>
      </c>
      <c r="J25" s="23" t="str">
        <f ca="1">IF($N25="","",IFERROR(INDEX(食材マスタ!$I$10:$I$309,MATCH(G25,食材マスタ!$C$10:$C$309,0)),""))</f>
        <v/>
      </c>
      <c r="K25" s="28" t="str">
        <f ca="1">IF($N25="","",INDEX(入出庫履歴!$N$10:$N$1009,$N25))</f>
        <v/>
      </c>
      <c r="L25" s="23" t="str">
        <f ca="1">IF($N25="","",INDEX(入出庫履歴!$H$10:$H$1009,$N25))</f>
        <v/>
      </c>
      <c r="M25" s="29" t="str">
        <f ca="1">IF($N25="","",ROUND(K25*INDEX(入出庫履歴!$I$10:$I$1009,$N25),0))</f>
        <v/>
      </c>
      <c r="N25" t="str">
        <f ca="1">IFERROR(MATCH(17,入出庫履歴!$V$10:$V$1009,0),"")</f>
        <v/>
      </c>
    </row>
    <row r="26" spans="2:14">
      <c r="B26" s="23" t="str">
        <f ca="1">IF($N26="","",18)</f>
        <v/>
      </c>
      <c r="C26" s="24" t="str">
        <f t="shared" ca="1" si="0"/>
        <v/>
      </c>
      <c r="D26" s="25" t="str">
        <f ca="1">IF($N26="","",INDEX(入出庫履歴!$K$10:$K$1009,$N26))</f>
        <v/>
      </c>
      <c r="E26" s="26" t="str">
        <f ca="1">IF($N26="","",INDEX(入出庫履歴!$O$10:$O$1009,$N26))</f>
        <v/>
      </c>
      <c r="F26" s="23" t="str">
        <f ca="1">IF($N26="","",INDEX(入出庫履歴!$L$10:$L$1009,$N26))</f>
        <v/>
      </c>
      <c r="G26" s="23" t="str">
        <f ca="1">IF($N26="","",INDEX(入出庫履歴!$E$10:$E$1009,$N26))</f>
        <v/>
      </c>
      <c r="H26" s="27" t="str">
        <f ca="1">IF($N26="","",INDEX(入出庫履歴!$F$10:$F$1009,$N26))</f>
        <v/>
      </c>
      <c r="I26" s="23" t="str">
        <f ca="1">IF($N26="","",IFERROR(INDEX(食材マスタ!$G$10:$G$309,MATCH(G26,食材マスタ!$C$10:$C$309,0)),""))</f>
        <v/>
      </c>
      <c r="J26" s="23" t="str">
        <f ca="1">IF($N26="","",IFERROR(INDEX(食材マスタ!$I$10:$I$309,MATCH(G26,食材マスタ!$C$10:$C$309,0)),""))</f>
        <v/>
      </c>
      <c r="K26" s="28" t="str">
        <f ca="1">IF($N26="","",INDEX(入出庫履歴!$N$10:$N$1009,$N26))</f>
        <v/>
      </c>
      <c r="L26" s="23" t="str">
        <f ca="1">IF($N26="","",INDEX(入出庫履歴!$H$10:$H$1009,$N26))</f>
        <v/>
      </c>
      <c r="M26" s="29" t="str">
        <f ca="1">IF($N26="","",ROUND(K26*INDEX(入出庫履歴!$I$10:$I$1009,$N26),0))</f>
        <v/>
      </c>
      <c r="N26" t="str">
        <f ca="1">IFERROR(MATCH(18,入出庫履歴!$V$10:$V$1009,0),"")</f>
        <v/>
      </c>
    </row>
    <row r="27" spans="2:14">
      <c r="B27" s="23" t="str">
        <f ca="1">IF($N27="","",19)</f>
        <v/>
      </c>
      <c r="C27" s="24" t="str">
        <f t="shared" ca="1" si="0"/>
        <v/>
      </c>
      <c r="D27" s="25" t="str">
        <f ca="1">IF($N27="","",INDEX(入出庫履歴!$K$10:$K$1009,$N27))</f>
        <v/>
      </c>
      <c r="E27" s="26" t="str">
        <f ca="1">IF($N27="","",INDEX(入出庫履歴!$O$10:$O$1009,$N27))</f>
        <v/>
      </c>
      <c r="F27" s="23" t="str">
        <f ca="1">IF($N27="","",INDEX(入出庫履歴!$L$10:$L$1009,$N27))</f>
        <v/>
      </c>
      <c r="G27" s="23" t="str">
        <f ca="1">IF($N27="","",INDEX(入出庫履歴!$E$10:$E$1009,$N27))</f>
        <v/>
      </c>
      <c r="H27" s="27" t="str">
        <f ca="1">IF($N27="","",INDEX(入出庫履歴!$F$10:$F$1009,$N27))</f>
        <v/>
      </c>
      <c r="I27" s="23" t="str">
        <f ca="1">IF($N27="","",IFERROR(INDEX(食材マスタ!$G$10:$G$309,MATCH(G27,食材マスタ!$C$10:$C$309,0)),""))</f>
        <v/>
      </c>
      <c r="J27" s="23" t="str">
        <f ca="1">IF($N27="","",IFERROR(INDEX(食材マスタ!$I$10:$I$309,MATCH(G27,食材マスタ!$C$10:$C$309,0)),""))</f>
        <v/>
      </c>
      <c r="K27" s="28" t="str">
        <f ca="1">IF($N27="","",INDEX(入出庫履歴!$N$10:$N$1009,$N27))</f>
        <v/>
      </c>
      <c r="L27" s="23" t="str">
        <f ca="1">IF($N27="","",INDEX(入出庫履歴!$H$10:$H$1009,$N27))</f>
        <v/>
      </c>
      <c r="M27" s="29" t="str">
        <f ca="1">IF($N27="","",ROUND(K27*INDEX(入出庫履歴!$I$10:$I$1009,$N27),0))</f>
        <v/>
      </c>
      <c r="N27" t="str">
        <f ca="1">IFERROR(MATCH(19,入出庫履歴!$V$10:$V$1009,0),"")</f>
        <v/>
      </c>
    </row>
    <row r="28" spans="2:14">
      <c r="B28" s="23" t="str">
        <f ca="1">IF($N28="","",20)</f>
        <v/>
      </c>
      <c r="C28" s="24" t="str">
        <f t="shared" ca="1" si="0"/>
        <v/>
      </c>
      <c r="D28" s="25" t="str">
        <f ca="1">IF($N28="","",INDEX(入出庫履歴!$K$10:$K$1009,$N28))</f>
        <v/>
      </c>
      <c r="E28" s="26" t="str">
        <f ca="1">IF($N28="","",INDEX(入出庫履歴!$O$10:$O$1009,$N28))</f>
        <v/>
      </c>
      <c r="F28" s="23" t="str">
        <f ca="1">IF($N28="","",INDEX(入出庫履歴!$L$10:$L$1009,$N28))</f>
        <v/>
      </c>
      <c r="G28" s="23" t="str">
        <f ca="1">IF($N28="","",INDEX(入出庫履歴!$E$10:$E$1009,$N28))</f>
        <v/>
      </c>
      <c r="H28" s="27" t="str">
        <f ca="1">IF($N28="","",INDEX(入出庫履歴!$F$10:$F$1009,$N28))</f>
        <v/>
      </c>
      <c r="I28" s="23" t="str">
        <f ca="1">IF($N28="","",IFERROR(INDEX(食材マスタ!$G$10:$G$309,MATCH(G28,食材マスタ!$C$10:$C$309,0)),""))</f>
        <v/>
      </c>
      <c r="J28" s="23" t="str">
        <f ca="1">IF($N28="","",IFERROR(INDEX(食材マスタ!$I$10:$I$309,MATCH(G28,食材マスタ!$C$10:$C$309,0)),""))</f>
        <v/>
      </c>
      <c r="K28" s="28" t="str">
        <f ca="1">IF($N28="","",INDEX(入出庫履歴!$N$10:$N$1009,$N28))</f>
        <v/>
      </c>
      <c r="L28" s="23" t="str">
        <f ca="1">IF($N28="","",INDEX(入出庫履歴!$H$10:$H$1009,$N28))</f>
        <v/>
      </c>
      <c r="M28" s="29" t="str">
        <f ca="1">IF($N28="","",ROUND(K28*INDEX(入出庫履歴!$I$10:$I$1009,$N28),0))</f>
        <v/>
      </c>
      <c r="N28" t="str">
        <f ca="1">IFERROR(MATCH(20,入出庫履歴!$V$10:$V$1009,0),"")</f>
        <v/>
      </c>
    </row>
    <row r="29" spans="2:14">
      <c r="B29" s="23" t="str">
        <f ca="1">IF($N29="","",21)</f>
        <v/>
      </c>
      <c r="C29" s="24" t="str">
        <f t="shared" ca="1" si="0"/>
        <v/>
      </c>
      <c r="D29" s="25" t="str">
        <f ca="1">IF($N29="","",INDEX(入出庫履歴!$K$10:$K$1009,$N29))</f>
        <v/>
      </c>
      <c r="E29" s="26" t="str">
        <f ca="1">IF($N29="","",INDEX(入出庫履歴!$O$10:$O$1009,$N29))</f>
        <v/>
      </c>
      <c r="F29" s="23" t="str">
        <f ca="1">IF($N29="","",INDEX(入出庫履歴!$L$10:$L$1009,$N29))</f>
        <v/>
      </c>
      <c r="G29" s="23" t="str">
        <f ca="1">IF($N29="","",INDEX(入出庫履歴!$E$10:$E$1009,$N29))</f>
        <v/>
      </c>
      <c r="H29" s="27" t="str">
        <f ca="1">IF($N29="","",INDEX(入出庫履歴!$F$10:$F$1009,$N29))</f>
        <v/>
      </c>
      <c r="I29" s="23" t="str">
        <f ca="1">IF($N29="","",IFERROR(INDEX(食材マスタ!$G$10:$G$309,MATCH(G29,食材マスタ!$C$10:$C$309,0)),""))</f>
        <v/>
      </c>
      <c r="J29" s="23" t="str">
        <f ca="1">IF($N29="","",IFERROR(INDEX(食材マスタ!$I$10:$I$309,MATCH(G29,食材マスタ!$C$10:$C$309,0)),""))</f>
        <v/>
      </c>
      <c r="K29" s="28" t="str">
        <f ca="1">IF($N29="","",INDEX(入出庫履歴!$N$10:$N$1009,$N29))</f>
        <v/>
      </c>
      <c r="L29" s="23" t="str">
        <f ca="1">IF($N29="","",INDEX(入出庫履歴!$H$10:$H$1009,$N29))</f>
        <v/>
      </c>
      <c r="M29" s="29" t="str">
        <f ca="1">IF($N29="","",ROUND(K29*INDEX(入出庫履歴!$I$10:$I$1009,$N29),0))</f>
        <v/>
      </c>
      <c r="N29" t="str">
        <f ca="1">IFERROR(MATCH(21,入出庫履歴!$V$10:$V$1009,0),"")</f>
        <v/>
      </c>
    </row>
    <row r="30" spans="2:14">
      <c r="B30" s="23" t="str">
        <f ca="1">IF($N30="","",22)</f>
        <v/>
      </c>
      <c r="C30" s="24" t="str">
        <f t="shared" ca="1" si="0"/>
        <v/>
      </c>
      <c r="D30" s="25" t="str">
        <f ca="1">IF($N30="","",INDEX(入出庫履歴!$K$10:$K$1009,$N30))</f>
        <v/>
      </c>
      <c r="E30" s="26" t="str">
        <f ca="1">IF($N30="","",INDEX(入出庫履歴!$O$10:$O$1009,$N30))</f>
        <v/>
      </c>
      <c r="F30" s="23" t="str">
        <f ca="1">IF($N30="","",INDEX(入出庫履歴!$L$10:$L$1009,$N30))</f>
        <v/>
      </c>
      <c r="G30" s="23" t="str">
        <f ca="1">IF($N30="","",INDEX(入出庫履歴!$E$10:$E$1009,$N30))</f>
        <v/>
      </c>
      <c r="H30" s="27" t="str">
        <f ca="1">IF($N30="","",INDEX(入出庫履歴!$F$10:$F$1009,$N30))</f>
        <v/>
      </c>
      <c r="I30" s="23" t="str">
        <f ca="1">IF($N30="","",IFERROR(INDEX(食材マスタ!$G$10:$G$309,MATCH(G30,食材マスタ!$C$10:$C$309,0)),""))</f>
        <v/>
      </c>
      <c r="J30" s="23" t="str">
        <f ca="1">IF($N30="","",IFERROR(INDEX(食材マスタ!$I$10:$I$309,MATCH(G30,食材マスタ!$C$10:$C$309,0)),""))</f>
        <v/>
      </c>
      <c r="K30" s="28" t="str">
        <f ca="1">IF($N30="","",INDEX(入出庫履歴!$N$10:$N$1009,$N30))</f>
        <v/>
      </c>
      <c r="L30" s="23" t="str">
        <f ca="1">IF($N30="","",INDEX(入出庫履歴!$H$10:$H$1009,$N30))</f>
        <v/>
      </c>
      <c r="M30" s="29" t="str">
        <f ca="1">IF($N30="","",ROUND(K30*INDEX(入出庫履歴!$I$10:$I$1009,$N30),0))</f>
        <v/>
      </c>
      <c r="N30" t="str">
        <f ca="1">IFERROR(MATCH(22,入出庫履歴!$V$10:$V$1009,0),"")</f>
        <v/>
      </c>
    </row>
    <row r="31" spans="2:14">
      <c r="B31" s="23" t="str">
        <f ca="1">IF($N31="","",23)</f>
        <v/>
      </c>
      <c r="C31" s="24" t="str">
        <f t="shared" ca="1" si="0"/>
        <v/>
      </c>
      <c r="D31" s="25" t="str">
        <f ca="1">IF($N31="","",INDEX(入出庫履歴!$K$10:$K$1009,$N31))</f>
        <v/>
      </c>
      <c r="E31" s="26" t="str">
        <f ca="1">IF($N31="","",INDEX(入出庫履歴!$O$10:$O$1009,$N31))</f>
        <v/>
      </c>
      <c r="F31" s="23" t="str">
        <f ca="1">IF($N31="","",INDEX(入出庫履歴!$L$10:$L$1009,$N31))</f>
        <v/>
      </c>
      <c r="G31" s="23" t="str">
        <f ca="1">IF($N31="","",INDEX(入出庫履歴!$E$10:$E$1009,$N31))</f>
        <v/>
      </c>
      <c r="H31" s="27" t="str">
        <f ca="1">IF($N31="","",INDEX(入出庫履歴!$F$10:$F$1009,$N31))</f>
        <v/>
      </c>
      <c r="I31" s="23" t="str">
        <f ca="1">IF($N31="","",IFERROR(INDEX(食材マスタ!$G$10:$G$309,MATCH(G31,食材マスタ!$C$10:$C$309,0)),""))</f>
        <v/>
      </c>
      <c r="J31" s="23" t="str">
        <f ca="1">IF($N31="","",IFERROR(INDEX(食材マスタ!$I$10:$I$309,MATCH(G31,食材マスタ!$C$10:$C$309,0)),""))</f>
        <v/>
      </c>
      <c r="K31" s="28" t="str">
        <f ca="1">IF($N31="","",INDEX(入出庫履歴!$N$10:$N$1009,$N31))</f>
        <v/>
      </c>
      <c r="L31" s="23" t="str">
        <f ca="1">IF($N31="","",INDEX(入出庫履歴!$H$10:$H$1009,$N31))</f>
        <v/>
      </c>
      <c r="M31" s="29" t="str">
        <f ca="1">IF($N31="","",ROUND(K31*INDEX(入出庫履歴!$I$10:$I$1009,$N31),0))</f>
        <v/>
      </c>
      <c r="N31" t="str">
        <f ca="1">IFERROR(MATCH(23,入出庫履歴!$V$10:$V$1009,0),"")</f>
        <v/>
      </c>
    </row>
    <row r="32" spans="2:14">
      <c r="B32" s="23" t="str">
        <f ca="1">IF($N32="","",24)</f>
        <v/>
      </c>
      <c r="C32" s="24" t="str">
        <f t="shared" ca="1" si="0"/>
        <v/>
      </c>
      <c r="D32" s="25" t="str">
        <f ca="1">IF($N32="","",INDEX(入出庫履歴!$K$10:$K$1009,$N32))</f>
        <v/>
      </c>
      <c r="E32" s="26" t="str">
        <f ca="1">IF($N32="","",INDEX(入出庫履歴!$O$10:$O$1009,$N32))</f>
        <v/>
      </c>
      <c r="F32" s="23" t="str">
        <f ca="1">IF($N32="","",INDEX(入出庫履歴!$L$10:$L$1009,$N32))</f>
        <v/>
      </c>
      <c r="G32" s="23" t="str">
        <f ca="1">IF($N32="","",INDEX(入出庫履歴!$E$10:$E$1009,$N32))</f>
        <v/>
      </c>
      <c r="H32" s="27" t="str">
        <f ca="1">IF($N32="","",INDEX(入出庫履歴!$F$10:$F$1009,$N32))</f>
        <v/>
      </c>
      <c r="I32" s="23" t="str">
        <f ca="1">IF($N32="","",IFERROR(INDEX(食材マスタ!$G$10:$G$309,MATCH(G32,食材マスタ!$C$10:$C$309,0)),""))</f>
        <v/>
      </c>
      <c r="J32" s="23" t="str">
        <f ca="1">IF($N32="","",IFERROR(INDEX(食材マスタ!$I$10:$I$309,MATCH(G32,食材マスタ!$C$10:$C$309,0)),""))</f>
        <v/>
      </c>
      <c r="K32" s="28" t="str">
        <f ca="1">IF($N32="","",INDEX(入出庫履歴!$N$10:$N$1009,$N32))</f>
        <v/>
      </c>
      <c r="L32" s="23" t="str">
        <f ca="1">IF($N32="","",INDEX(入出庫履歴!$H$10:$H$1009,$N32))</f>
        <v/>
      </c>
      <c r="M32" s="29" t="str">
        <f ca="1">IF($N32="","",ROUND(K32*INDEX(入出庫履歴!$I$10:$I$1009,$N32),0))</f>
        <v/>
      </c>
      <c r="N32" t="str">
        <f ca="1">IFERROR(MATCH(24,入出庫履歴!$V$10:$V$1009,0),"")</f>
        <v/>
      </c>
    </row>
    <row r="33" spans="2:14">
      <c r="B33" s="23" t="str">
        <f ca="1">IF($N33="","",25)</f>
        <v/>
      </c>
      <c r="C33" s="24" t="str">
        <f t="shared" ca="1" si="0"/>
        <v/>
      </c>
      <c r="D33" s="25" t="str">
        <f ca="1">IF($N33="","",INDEX(入出庫履歴!$K$10:$K$1009,$N33))</f>
        <v/>
      </c>
      <c r="E33" s="26" t="str">
        <f ca="1">IF($N33="","",INDEX(入出庫履歴!$O$10:$O$1009,$N33))</f>
        <v/>
      </c>
      <c r="F33" s="23" t="str">
        <f ca="1">IF($N33="","",INDEX(入出庫履歴!$L$10:$L$1009,$N33))</f>
        <v/>
      </c>
      <c r="G33" s="23" t="str">
        <f ca="1">IF($N33="","",INDEX(入出庫履歴!$E$10:$E$1009,$N33))</f>
        <v/>
      </c>
      <c r="H33" s="27" t="str">
        <f ca="1">IF($N33="","",INDEX(入出庫履歴!$F$10:$F$1009,$N33))</f>
        <v/>
      </c>
      <c r="I33" s="23" t="str">
        <f ca="1">IF($N33="","",IFERROR(INDEX(食材マスタ!$G$10:$G$309,MATCH(G33,食材マスタ!$C$10:$C$309,0)),""))</f>
        <v/>
      </c>
      <c r="J33" s="23" t="str">
        <f ca="1">IF($N33="","",IFERROR(INDEX(食材マスタ!$I$10:$I$309,MATCH(G33,食材マスタ!$C$10:$C$309,0)),""))</f>
        <v/>
      </c>
      <c r="K33" s="28" t="str">
        <f ca="1">IF($N33="","",INDEX(入出庫履歴!$N$10:$N$1009,$N33))</f>
        <v/>
      </c>
      <c r="L33" s="23" t="str">
        <f ca="1">IF($N33="","",INDEX(入出庫履歴!$H$10:$H$1009,$N33))</f>
        <v/>
      </c>
      <c r="M33" s="29" t="str">
        <f ca="1">IF($N33="","",ROUND(K33*INDEX(入出庫履歴!$I$10:$I$1009,$N33),0))</f>
        <v/>
      </c>
      <c r="N33" t="str">
        <f ca="1">IFERROR(MATCH(25,入出庫履歴!$V$10:$V$1009,0),"")</f>
        <v/>
      </c>
    </row>
    <row r="34" spans="2:14">
      <c r="B34" s="23" t="str">
        <f ca="1">IF($N34="","",26)</f>
        <v/>
      </c>
      <c r="C34" s="24" t="str">
        <f t="shared" ca="1" si="0"/>
        <v/>
      </c>
      <c r="D34" s="25" t="str">
        <f ca="1">IF($N34="","",INDEX(入出庫履歴!$K$10:$K$1009,$N34))</f>
        <v/>
      </c>
      <c r="E34" s="26" t="str">
        <f ca="1">IF($N34="","",INDEX(入出庫履歴!$O$10:$O$1009,$N34))</f>
        <v/>
      </c>
      <c r="F34" s="23" t="str">
        <f ca="1">IF($N34="","",INDEX(入出庫履歴!$L$10:$L$1009,$N34))</f>
        <v/>
      </c>
      <c r="G34" s="23" t="str">
        <f ca="1">IF($N34="","",INDEX(入出庫履歴!$E$10:$E$1009,$N34))</f>
        <v/>
      </c>
      <c r="H34" s="27" t="str">
        <f ca="1">IF($N34="","",INDEX(入出庫履歴!$F$10:$F$1009,$N34))</f>
        <v/>
      </c>
      <c r="I34" s="23" t="str">
        <f ca="1">IF($N34="","",IFERROR(INDEX(食材マスタ!$G$10:$G$309,MATCH(G34,食材マスタ!$C$10:$C$309,0)),""))</f>
        <v/>
      </c>
      <c r="J34" s="23" t="str">
        <f ca="1">IF($N34="","",IFERROR(INDEX(食材マスタ!$I$10:$I$309,MATCH(G34,食材マスタ!$C$10:$C$309,0)),""))</f>
        <v/>
      </c>
      <c r="K34" s="28" t="str">
        <f ca="1">IF($N34="","",INDEX(入出庫履歴!$N$10:$N$1009,$N34))</f>
        <v/>
      </c>
      <c r="L34" s="23" t="str">
        <f ca="1">IF($N34="","",INDEX(入出庫履歴!$H$10:$H$1009,$N34))</f>
        <v/>
      </c>
      <c r="M34" s="29" t="str">
        <f ca="1">IF($N34="","",ROUND(K34*INDEX(入出庫履歴!$I$10:$I$1009,$N34),0))</f>
        <v/>
      </c>
      <c r="N34" t="str">
        <f ca="1">IFERROR(MATCH(26,入出庫履歴!$V$10:$V$1009,0),"")</f>
        <v/>
      </c>
    </row>
    <row r="35" spans="2:14">
      <c r="B35" s="23" t="str">
        <f ca="1">IF($N35="","",27)</f>
        <v/>
      </c>
      <c r="C35" s="24" t="str">
        <f t="shared" ca="1" si="0"/>
        <v/>
      </c>
      <c r="D35" s="25" t="str">
        <f ca="1">IF($N35="","",INDEX(入出庫履歴!$K$10:$K$1009,$N35))</f>
        <v/>
      </c>
      <c r="E35" s="26" t="str">
        <f ca="1">IF($N35="","",INDEX(入出庫履歴!$O$10:$O$1009,$N35))</f>
        <v/>
      </c>
      <c r="F35" s="23" t="str">
        <f ca="1">IF($N35="","",INDEX(入出庫履歴!$L$10:$L$1009,$N35))</f>
        <v/>
      </c>
      <c r="G35" s="23" t="str">
        <f ca="1">IF($N35="","",INDEX(入出庫履歴!$E$10:$E$1009,$N35))</f>
        <v/>
      </c>
      <c r="H35" s="27" t="str">
        <f ca="1">IF($N35="","",INDEX(入出庫履歴!$F$10:$F$1009,$N35))</f>
        <v/>
      </c>
      <c r="I35" s="23" t="str">
        <f ca="1">IF($N35="","",IFERROR(INDEX(食材マスタ!$G$10:$G$309,MATCH(G35,食材マスタ!$C$10:$C$309,0)),""))</f>
        <v/>
      </c>
      <c r="J35" s="23" t="str">
        <f ca="1">IF($N35="","",IFERROR(INDEX(食材マスタ!$I$10:$I$309,MATCH(G35,食材マスタ!$C$10:$C$309,0)),""))</f>
        <v/>
      </c>
      <c r="K35" s="28" t="str">
        <f ca="1">IF($N35="","",INDEX(入出庫履歴!$N$10:$N$1009,$N35))</f>
        <v/>
      </c>
      <c r="L35" s="23" t="str">
        <f ca="1">IF($N35="","",INDEX(入出庫履歴!$H$10:$H$1009,$N35))</f>
        <v/>
      </c>
      <c r="M35" s="29" t="str">
        <f ca="1">IF($N35="","",ROUND(K35*INDEX(入出庫履歴!$I$10:$I$1009,$N35),0))</f>
        <v/>
      </c>
      <c r="N35" t="str">
        <f ca="1">IFERROR(MATCH(27,入出庫履歴!$V$10:$V$1009,0),"")</f>
        <v/>
      </c>
    </row>
    <row r="36" spans="2:14">
      <c r="B36" s="23" t="str">
        <f ca="1">IF($N36="","",28)</f>
        <v/>
      </c>
      <c r="C36" s="24" t="str">
        <f t="shared" ca="1" si="0"/>
        <v/>
      </c>
      <c r="D36" s="25" t="str">
        <f ca="1">IF($N36="","",INDEX(入出庫履歴!$K$10:$K$1009,$N36))</f>
        <v/>
      </c>
      <c r="E36" s="26" t="str">
        <f ca="1">IF($N36="","",INDEX(入出庫履歴!$O$10:$O$1009,$N36))</f>
        <v/>
      </c>
      <c r="F36" s="23" t="str">
        <f ca="1">IF($N36="","",INDEX(入出庫履歴!$L$10:$L$1009,$N36))</f>
        <v/>
      </c>
      <c r="G36" s="23" t="str">
        <f ca="1">IF($N36="","",INDEX(入出庫履歴!$E$10:$E$1009,$N36))</f>
        <v/>
      </c>
      <c r="H36" s="27" t="str">
        <f ca="1">IF($N36="","",INDEX(入出庫履歴!$F$10:$F$1009,$N36))</f>
        <v/>
      </c>
      <c r="I36" s="23" t="str">
        <f ca="1">IF($N36="","",IFERROR(INDEX(食材マスタ!$G$10:$G$309,MATCH(G36,食材マスタ!$C$10:$C$309,0)),""))</f>
        <v/>
      </c>
      <c r="J36" s="23" t="str">
        <f ca="1">IF($N36="","",IFERROR(INDEX(食材マスタ!$I$10:$I$309,MATCH(G36,食材マスタ!$C$10:$C$309,0)),""))</f>
        <v/>
      </c>
      <c r="K36" s="28" t="str">
        <f ca="1">IF($N36="","",INDEX(入出庫履歴!$N$10:$N$1009,$N36))</f>
        <v/>
      </c>
      <c r="L36" s="23" t="str">
        <f ca="1">IF($N36="","",INDEX(入出庫履歴!$H$10:$H$1009,$N36))</f>
        <v/>
      </c>
      <c r="M36" s="29" t="str">
        <f ca="1">IF($N36="","",ROUND(K36*INDEX(入出庫履歴!$I$10:$I$1009,$N36),0))</f>
        <v/>
      </c>
      <c r="N36" t="str">
        <f ca="1">IFERROR(MATCH(28,入出庫履歴!$V$10:$V$1009,0),"")</f>
        <v/>
      </c>
    </row>
    <row r="37" spans="2:14">
      <c r="B37" s="23" t="str">
        <f ca="1">IF($N37="","",29)</f>
        <v/>
      </c>
      <c r="C37" s="24" t="str">
        <f t="shared" ca="1" si="0"/>
        <v/>
      </c>
      <c r="D37" s="25" t="str">
        <f ca="1">IF($N37="","",INDEX(入出庫履歴!$K$10:$K$1009,$N37))</f>
        <v/>
      </c>
      <c r="E37" s="26" t="str">
        <f ca="1">IF($N37="","",INDEX(入出庫履歴!$O$10:$O$1009,$N37))</f>
        <v/>
      </c>
      <c r="F37" s="23" t="str">
        <f ca="1">IF($N37="","",INDEX(入出庫履歴!$L$10:$L$1009,$N37))</f>
        <v/>
      </c>
      <c r="G37" s="23" t="str">
        <f ca="1">IF($N37="","",INDEX(入出庫履歴!$E$10:$E$1009,$N37))</f>
        <v/>
      </c>
      <c r="H37" s="27" t="str">
        <f ca="1">IF($N37="","",INDEX(入出庫履歴!$F$10:$F$1009,$N37))</f>
        <v/>
      </c>
      <c r="I37" s="23" t="str">
        <f ca="1">IF($N37="","",IFERROR(INDEX(食材マスタ!$G$10:$G$309,MATCH(G37,食材マスタ!$C$10:$C$309,0)),""))</f>
        <v/>
      </c>
      <c r="J37" s="23" t="str">
        <f ca="1">IF($N37="","",IFERROR(INDEX(食材マスタ!$I$10:$I$309,MATCH(G37,食材マスタ!$C$10:$C$309,0)),""))</f>
        <v/>
      </c>
      <c r="K37" s="28" t="str">
        <f ca="1">IF($N37="","",INDEX(入出庫履歴!$N$10:$N$1009,$N37))</f>
        <v/>
      </c>
      <c r="L37" s="23" t="str">
        <f ca="1">IF($N37="","",INDEX(入出庫履歴!$H$10:$H$1009,$N37))</f>
        <v/>
      </c>
      <c r="M37" s="29" t="str">
        <f ca="1">IF($N37="","",ROUND(K37*INDEX(入出庫履歴!$I$10:$I$1009,$N37),0))</f>
        <v/>
      </c>
      <c r="N37" t="str">
        <f ca="1">IFERROR(MATCH(29,入出庫履歴!$V$10:$V$1009,0),"")</f>
        <v/>
      </c>
    </row>
    <row r="38" spans="2:14">
      <c r="B38" s="23" t="str">
        <f ca="1">IF($N38="","",30)</f>
        <v/>
      </c>
      <c r="C38" s="24" t="str">
        <f t="shared" ca="1" si="0"/>
        <v/>
      </c>
      <c r="D38" s="25" t="str">
        <f ca="1">IF($N38="","",INDEX(入出庫履歴!$K$10:$K$1009,$N38))</f>
        <v/>
      </c>
      <c r="E38" s="26" t="str">
        <f ca="1">IF($N38="","",INDEX(入出庫履歴!$O$10:$O$1009,$N38))</f>
        <v/>
      </c>
      <c r="F38" s="23" t="str">
        <f ca="1">IF($N38="","",INDEX(入出庫履歴!$L$10:$L$1009,$N38))</f>
        <v/>
      </c>
      <c r="G38" s="23" t="str">
        <f ca="1">IF($N38="","",INDEX(入出庫履歴!$E$10:$E$1009,$N38))</f>
        <v/>
      </c>
      <c r="H38" s="27" t="str">
        <f ca="1">IF($N38="","",INDEX(入出庫履歴!$F$10:$F$1009,$N38))</f>
        <v/>
      </c>
      <c r="I38" s="23" t="str">
        <f ca="1">IF($N38="","",IFERROR(INDEX(食材マスタ!$G$10:$G$309,MATCH(G38,食材マスタ!$C$10:$C$309,0)),""))</f>
        <v/>
      </c>
      <c r="J38" s="23" t="str">
        <f ca="1">IF($N38="","",IFERROR(INDEX(食材マスタ!$I$10:$I$309,MATCH(G38,食材マスタ!$C$10:$C$309,0)),""))</f>
        <v/>
      </c>
      <c r="K38" s="28" t="str">
        <f ca="1">IF($N38="","",INDEX(入出庫履歴!$N$10:$N$1009,$N38))</f>
        <v/>
      </c>
      <c r="L38" s="23" t="str">
        <f ca="1">IF($N38="","",INDEX(入出庫履歴!$H$10:$H$1009,$N38))</f>
        <v/>
      </c>
      <c r="M38" s="29" t="str">
        <f ca="1">IF($N38="","",ROUND(K38*INDEX(入出庫履歴!$I$10:$I$1009,$N38),0))</f>
        <v/>
      </c>
      <c r="N38" t="str">
        <f ca="1">IFERROR(MATCH(30,入出庫履歴!$V$10:$V$1009,0),"")</f>
        <v/>
      </c>
    </row>
    <row r="39" spans="2:14">
      <c r="B39" s="23" t="str">
        <f ca="1">IF($N39="","",31)</f>
        <v/>
      </c>
      <c r="C39" s="24" t="str">
        <f t="shared" ca="1" si="0"/>
        <v/>
      </c>
      <c r="D39" s="25" t="str">
        <f ca="1">IF($N39="","",INDEX(入出庫履歴!$K$10:$K$1009,$N39))</f>
        <v/>
      </c>
      <c r="E39" s="26" t="str">
        <f ca="1">IF($N39="","",INDEX(入出庫履歴!$O$10:$O$1009,$N39))</f>
        <v/>
      </c>
      <c r="F39" s="23" t="str">
        <f ca="1">IF($N39="","",INDEX(入出庫履歴!$L$10:$L$1009,$N39))</f>
        <v/>
      </c>
      <c r="G39" s="23" t="str">
        <f ca="1">IF($N39="","",INDEX(入出庫履歴!$E$10:$E$1009,$N39))</f>
        <v/>
      </c>
      <c r="H39" s="27" t="str">
        <f ca="1">IF($N39="","",INDEX(入出庫履歴!$F$10:$F$1009,$N39))</f>
        <v/>
      </c>
      <c r="I39" s="23" t="str">
        <f ca="1">IF($N39="","",IFERROR(INDEX(食材マスタ!$G$10:$G$309,MATCH(G39,食材マスタ!$C$10:$C$309,0)),""))</f>
        <v/>
      </c>
      <c r="J39" s="23" t="str">
        <f ca="1">IF($N39="","",IFERROR(INDEX(食材マスタ!$I$10:$I$309,MATCH(G39,食材マスタ!$C$10:$C$309,0)),""))</f>
        <v/>
      </c>
      <c r="K39" s="28" t="str">
        <f ca="1">IF($N39="","",INDEX(入出庫履歴!$N$10:$N$1009,$N39))</f>
        <v/>
      </c>
      <c r="L39" s="23" t="str">
        <f ca="1">IF($N39="","",INDEX(入出庫履歴!$H$10:$H$1009,$N39))</f>
        <v/>
      </c>
      <c r="M39" s="29" t="str">
        <f ca="1">IF($N39="","",ROUND(K39*INDEX(入出庫履歴!$I$10:$I$1009,$N39),0))</f>
        <v/>
      </c>
      <c r="N39" t="str">
        <f ca="1">IFERROR(MATCH(31,入出庫履歴!$V$10:$V$1009,0),"")</f>
        <v/>
      </c>
    </row>
    <row r="40" spans="2:14">
      <c r="B40" s="23" t="str">
        <f ca="1">IF($N40="","",32)</f>
        <v/>
      </c>
      <c r="C40" s="24" t="str">
        <f t="shared" ca="1" si="0"/>
        <v/>
      </c>
      <c r="D40" s="25" t="str">
        <f ca="1">IF($N40="","",INDEX(入出庫履歴!$K$10:$K$1009,$N40))</f>
        <v/>
      </c>
      <c r="E40" s="26" t="str">
        <f ca="1">IF($N40="","",INDEX(入出庫履歴!$O$10:$O$1009,$N40))</f>
        <v/>
      </c>
      <c r="F40" s="23" t="str">
        <f ca="1">IF($N40="","",INDEX(入出庫履歴!$L$10:$L$1009,$N40))</f>
        <v/>
      </c>
      <c r="G40" s="23" t="str">
        <f ca="1">IF($N40="","",INDEX(入出庫履歴!$E$10:$E$1009,$N40))</f>
        <v/>
      </c>
      <c r="H40" s="27" t="str">
        <f ca="1">IF($N40="","",INDEX(入出庫履歴!$F$10:$F$1009,$N40))</f>
        <v/>
      </c>
      <c r="I40" s="23" t="str">
        <f ca="1">IF($N40="","",IFERROR(INDEX(食材マスタ!$G$10:$G$309,MATCH(G40,食材マスタ!$C$10:$C$309,0)),""))</f>
        <v/>
      </c>
      <c r="J40" s="23" t="str">
        <f ca="1">IF($N40="","",IFERROR(INDEX(食材マスタ!$I$10:$I$309,MATCH(G40,食材マスタ!$C$10:$C$309,0)),""))</f>
        <v/>
      </c>
      <c r="K40" s="28" t="str">
        <f ca="1">IF($N40="","",INDEX(入出庫履歴!$N$10:$N$1009,$N40))</f>
        <v/>
      </c>
      <c r="L40" s="23" t="str">
        <f ca="1">IF($N40="","",INDEX(入出庫履歴!$H$10:$H$1009,$N40))</f>
        <v/>
      </c>
      <c r="M40" s="29" t="str">
        <f ca="1">IF($N40="","",ROUND(K40*INDEX(入出庫履歴!$I$10:$I$1009,$N40),0))</f>
        <v/>
      </c>
      <c r="N40" t="str">
        <f ca="1">IFERROR(MATCH(32,入出庫履歴!$V$10:$V$1009,0),"")</f>
        <v/>
      </c>
    </row>
    <row r="41" spans="2:14">
      <c r="B41" s="23" t="str">
        <f ca="1">IF($N41="","",33)</f>
        <v/>
      </c>
      <c r="C41" s="24" t="str">
        <f t="shared" ref="C41:C58" ca="1" si="1">IF($N41="","",IF(E41&lt;0,"期限切れ","期限間近"))</f>
        <v/>
      </c>
      <c r="D41" s="25" t="str">
        <f ca="1">IF($N41="","",INDEX(入出庫履歴!$K$10:$K$1009,$N41))</f>
        <v/>
      </c>
      <c r="E41" s="26" t="str">
        <f ca="1">IF($N41="","",INDEX(入出庫履歴!$O$10:$O$1009,$N41))</f>
        <v/>
      </c>
      <c r="F41" s="23" t="str">
        <f ca="1">IF($N41="","",INDEX(入出庫履歴!$L$10:$L$1009,$N41))</f>
        <v/>
      </c>
      <c r="G41" s="23" t="str">
        <f ca="1">IF($N41="","",INDEX(入出庫履歴!$E$10:$E$1009,$N41))</f>
        <v/>
      </c>
      <c r="H41" s="27" t="str">
        <f ca="1">IF($N41="","",INDEX(入出庫履歴!$F$10:$F$1009,$N41))</f>
        <v/>
      </c>
      <c r="I41" s="23" t="str">
        <f ca="1">IF($N41="","",IFERROR(INDEX(食材マスタ!$G$10:$G$309,MATCH(G41,食材マスタ!$C$10:$C$309,0)),""))</f>
        <v/>
      </c>
      <c r="J41" s="23" t="str">
        <f ca="1">IF($N41="","",IFERROR(INDEX(食材マスタ!$I$10:$I$309,MATCH(G41,食材マスタ!$C$10:$C$309,0)),""))</f>
        <v/>
      </c>
      <c r="K41" s="28" t="str">
        <f ca="1">IF($N41="","",INDEX(入出庫履歴!$N$10:$N$1009,$N41))</f>
        <v/>
      </c>
      <c r="L41" s="23" t="str">
        <f ca="1">IF($N41="","",INDEX(入出庫履歴!$H$10:$H$1009,$N41))</f>
        <v/>
      </c>
      <c r="M41" s="29" t="str">
        <f ca="1">IF($N41="","",ROUND(K41*INDEX(入出庫履歴!$I$10:$I$1009,$N41),0))</f>
        <v/>
      </c>
      <c r="N41" t="str">
        <f ca="1">IFERROR(MATCH(33,入出庫履歴!$V$10:$V$1009,0),"")</f>
        <v/>
      </c>
    </row>
    <row r="42" spans="2:14">
      <c r="B42" s="23" t="str">
        <f ca="1">IF($N42="","",34)</f>
        <v/>
      </c>
      <c r="C42" s="24" t="str">
        <f t="shared" ca="1" si="1"/>
        <v/>
      </c>
      <c r="D42" s="25" t="str">
        <f ca="1">IF($N42="","",INDEX(入出庫履歴!$K$10:$K$1009,$N42))</f>
        <v/>
      </c>
      <c r="E42" s="26" t="str">
        <f ca="1">IF($N42="","",INDEX(入出庫履歴!$O$10:$O$1009,$N42))</f>
        <v/>
      </c>
      <c r="F42" s="23" t="str">
        <f ca="1">IF($N42="","",INDEX(入出庫履歴!$L$10:$L$1009,$N42))</f>
        <v/>
      </c>
      <c r="G42" s="23" t="str">
        <f ca="1">IF($N42="","",INDEX(入出庫履歴!$E$10:$E$1009,$N42))</f>
        <v/>
      </c>
      <c r="H42" s="27" t="str">
        <f ca="1">IF($N42="","",INDEX(入出庫履歴!$F$10:$F$1009,$N42))</f>
        <v/>
      </c>
      <c r="I42" s="23" t="str">
        <f ca="1">IF($N42="","",IFERROR(INDEX(食材マスタ!$G$10:$G$309,MATCH(G42,食材マスタ!$C$10:$C$309,0)),""))</f>
        <v/>
      </c>
      <c r="J42" s="23" t="str">
        <f ca="1">IF($N42="","",IFERROR(INDEX(食材マスタ!$I$10:$I$309,MATCH(G42,食材マスタ!$C$10:$C$309,0)),""))</f>
        <v/>
      </c>
      <c r="K42" s="28" t="str">
        <f ca="1">IF($N42="","",INDEX(入出庫履歴!$N$10:$N$1009,$N42))</f>
        <v/>
      </c>
      <c r="L42" s="23" t="str">
        <f ca="1">IF($N42="","",INDEX(入出庫履歴!$H$10:$H$1009,$N42))</f>
        <v/>
      </c>
      <c r="M42" s="29" t="str">
        <f ca="1">IF($N42="","",ROUND(K42*INDEX(入出庫履歴!$I$10:$I$1009,$N42),0))</f>
        <v/>
      </c>
      <c r="N42" t="str">
        <f ca="1">IFERROR(MATCH(34,入出庫履歴!$V$10:$V$1009,0),"")</f>
        <v/>
      </c>
    </row>
    <row r="43" spans="2:14">
      <c r="B43" s="23" t="str">
        <f ca="1">IF($N43="","",35)</f>
        <v/>
      </c>
      <c r="C43" s="24" t="str">
        <f t="shared" ca="1" si="1"/>
        <v/>
      </c>
      <c r="D43" s="25" t="str">
        <f ca="1">IF($N43="","",INDEX(入出庫履歴!$K$10:$K$1009,$N43))</f>
        <v/>
      </c>
      <c r="E43" s="26" t="str">
        <f ca="1">IF($N43="","",INDEX(入出庫履歴!$O$10:$O$1009,$N43))</f>
        <v/>
      </c>
      <c r="F43" s="23" t="str">
        <f ca="1">IF($N43="","",INDEX(入出庫履歴!$L$10:$L$1009,$N43))</f>
        <v/>
      </c>
      <c r="G43" s="23" t="str">
        <f ca="1">IF($N43="","",INDEX(入出庫履歴!$E$10:$E$1009,$N43))</f>
        <v/>
      </c>
      <c r="H43" s="27" t="str">
        <f ca="1">IF($N43="","",INDEX(入出庫履歴!$F$10:$F$1009,$N43))</f>
        <v/>
      </c>
      <c r="I43" s="23" t="str">
        <f ca="1">IF($N43="","",IFERROR(INDEX(食材マスタ!$G$10:$G$309,MATCH(G43,食材マスタ!$C$10:$C$309,0)),""))</f>
        <v/>
      </c>
      <c r="J43" s="23" t="str">
        <f ca="1">IF($N43="","",IFERROR(INDEX(食材マスタ!$I$10:$I$309,MATCH(G43,食材マスタ!$C$10:$C$309,0)),""))</f>
        <v/>
      </c>
      <c r="K43" s="28" t="str">
        <f ca="1">IF($N43="","",INDEX(入出庫履歴!$N$10:$N$1009,$N43))</f>
        <v/>
      </c>
      <c r="L43" s="23" t="str">
        <f ca="1">IF($N43="","",INDEX(入出庫履歴!$H$10:$H$1009,$N43))</f>
        <v/>
      </c>
      <c r="M43" s="29" t="str">
        <f ca="1">IF($N43="","",ROUND(K43*INDEX(入出庫履歴!$I$10:$I$1009,$N43),0))</f>
        <v/>
      </c>
      <c r="N43" t="str">
        <f ca="1">IFERROR(MATCH(35,入出庫履歴!$V$10:$V$1009,0),"")</f>
        <v/>
      </c>
    </row>
    <row r="44" spans="2:14">
      <c r="B44" s="23" t="str">
        <f ca="1">IF($N44="","",36)</f>
        <v/>
      </c>
      <c r="C44" s="24" t="str">
        <f t="shared" ca="1" si="1"/>
        <v/>
      </c>
      <c r="D44" s="25" t="str">
        <f ca="1">IF($N44="","",INDEX(入出庫履歴!$K$10:$K$1009,$N44))</f>
        <v/>
      </c>
      <c r="E44" s="26" t="str">
        <f ca="1">IF($N44="","",INDEX(入出庫履歴!$O$10:$O$1009,$N44))</f>
        <v/>
      </c>
      <c r="F44" s="23" t="str">
        <f ca="1">IF($N44="","",INDEX(入出庫履歴!$L$10:$L$1009,$N44))</f>
        <v/>
      </c>
      <c r="G44" s="23" t="str">
        <f ca="1">IF($N44="","",INDEX(入出庫履歴!$E$10:$E$1009,$N44))</f>
        <v/>
      </c>
      <c r="H44" s="27" t="str">
        <f ca="1">IF($N44="","",INDEX(入出庫履歴!$F$10:$F$1009,$N44))</f>
        <v/>
      </c>
      <c r="I44" s="23" t="str">
        <f ca="1">IF($N44="","",IFERROR(INDEX(食材マスタ!$G$10:$G$309,MATCH(G44,食材マスタ!$C$10:$C$309,0)),""))</f>
        <v/>
      </c>
      <c r="J44" s="23" t="str">
        <f ca="1">IF($N44="","",IFERROR(INDEX(食材マスタ!$I$10:$I$309,MATCH(G44,食材マスタ!$C$10:$C$309,0)),""))</f>
        <v/>
      </c>
      <c r="K44" s="28" t="str">
        <f ca="1">IF($N44="","",INDEX(入出庫履歴!$N$10:$N$1009,$N44))</f>
        <v/>
      </c>
      <c r="L44" s="23" t="str">
        <f ca="1">IF($N44="","",INDEX(入出庫履歴!$H$10:$H$1009,$N44))</f>
        <v/>
      </c>
      <c r="M44" s="29" t="str">
        <f ca="1">IF($N44="","",ROUND(K44*INDEX(入出庫履歴!$I$10:$I$1009,$N44),0))</f>
        <v/>
      </c>
      <c r="N44" t="str">
        <f ca="1">IFERROR(MATCH(36,入出庫履歴!$V$10:$V$1009,0),"")</f>
        <v/>
      </c>
    </row>
    <row r="45" spans="2:14">
      <c r="B45" s="23" t="str">
        <f ca="1">IF($N45="","",37)</f>
        <v/>
      </c>
      <c r="C45" s="24" t="str">
        <f t="shared" ca="1" si="1"/>
        <v/>
      </c>
      <c r="D45" s="25" t="str">
        <f ca="1">IF($N45="","",INDEX(入出庫履歴!$K$10:$K$1009,$N45))</f>
        <v/>
      </c>
      <c r="E45" s="26" t="str">
        <f ca="1">IF($N45="","",INDEX(入出庫履歴!$O$10:$O$1009,$N45))</f>
        <v/>
      </c>
      <c r="F45" s="23" t="str">
        <f ca="1">IF($N45="","",INDEX(入出庫履歴!$L$10:$L$1009,$N45))</f>
        <v/>
      </c>
      <c r="G45" s="23" t="str">
        <f ca="1">IF($N45="","",INDEX(入出庫履歴!$E$10:$E$1009,$N45))</f>
        <v/>
      </c>
      <c r="H45" s="27" t="str">
        <f ca="1">IF($N45="","",INDEX(入出庫履歴!$F$10:$F$1009,$N45))</f>
        <v/>
      </c>
      <c r="I45" s="23" t="str">
        <f ca="1">IF($N45="","",IFERROR(INDEX(食材マスタ!$G$10:$G$309,MATCH(G45,食材マスタ!$C$10:$C$309,0)),""))</f>
        <v/>
      </c>
      <c r="J45" s="23" t="str">
        <f ca="1">IF($N45="","",IFERROR(INDEX(食材マスタ!$I$10:$I$309,MATCH(G45,食材マスタ!$C$10:$C$309,0)),""))</f>
        <v/>
      </c>
      <c r="K45" s="28" t="str">
        <f ca="1">IF($N45="","",INDEX(入出庫履歴!$N$10:$N$1009,$N45))</f>
        <v/>
      </c>
      <c r="L45" s="23" t="str">
        <f ca="1">IF($N45="","",INDEX(入出庫履歴!$H$10:$H$1009,$N45))</f>
        <v/>
      </c>
      <c r="M45" s="29" t="str">
        <f ca="1">IF($N45="","",ROUND(K45*INDEX(入出庫履歴!$I$10:$I$1009,$N45),0))</f>
        <v/>
      </c>
      <c r="N45" t="str">
        <f ca="1">IFERROR(MATCH(37,入出庫履歴!$V$10:$V$1009,0),"")</f>
        <v/>
      </c>
    </row>
    <row r="46" spans="2:14">
      <c r="B46" s="23" t="str">
        <f ca="1">IF($N46="","",38)</f>
        <v/>
      </c>
      <c r="C46" s="24" t="str">
        <f t="shared" ca="1" si="1"/>
        <v/>
      </c>
      <c r="D46" s="25" t="str">
        <f ca="1">IF($N46="","",INDEX(入出庫履歴!$K$10:$K$1009,$N46))</f>
        <v/>
      </c>
      <c r="E46" s="26" t="str">
        <f ca="1">IF($N46="","",INDEX(入出庫履歴!$O$10:$O$1009,$N46))</f>
        <v/>
      </c>
      <c r="F46" s="23" t="str">
        <f ca="1">IF($N46="","",INDEX(入出庫履歴!$L$10:$L$1009,$N46))</f>
        <v/>
      </c>
      <c r="G46" s="23" t="str">
        <f ca="1">IF($N46="","",INDEX(入出庫履歴!$E$10:$E$1009,$N46))</f>
        <v/>
      </c>
      <c r="H46" s="27" t="str">
        <f ca="1">IF($N46="","",INDEX(入出庫履歴!$F$10:$F$1009,$N46))</f>
        <v/>
      </c>
      <c r="I46" s="23" t="str">
        <f ca="1">IF($N46="","",IFERROR(INDEX(食材マスタ!$G$10:$G$309,MATCH(G46,食材マスタ!$C$10:$C$309,0)),""))</f>
        <v/>
      </c>
      <c r="J46" s="23" t="str">
        <f ca="1">IF($N46="","",IFERROR(INDEX(食材マスタ!$I$10:$I$309,MATCH(G46,食材マスタ!$C$10:$C$309,0)),""))</f>
        <v/>
      </c>
      <c r="K46" s="28" t="str">
        <f ca="1">IF($N46="","",INDEX(入出庫履歴!$N$10:$N$1009,$N46))</f>
        <v/>
      </c>
      <c r="L46" s="23" t="str">
        <f ca="1">IF($N46="","",INDEX(入出庫履歴!$H$10:$H$1009,$N46))</f>
        <v/>
      </c>
      <c r="M46" s="29" t="str">
        <f ca="1">IF($N46="","",ROUND(K46*INDEX(入出庫履歴!$I$10:$I$1009,$N46),0))</f>
        <v/>
      </c>
      <c r="N46" t="str">
        <f ca="1">IFERROR(MATCH(38,入出庫履歴!$V$10:$V$1009,0),"")</f>
        <v/>
      </c>
    </row>
    <row r="47" spans="2:14">
      <c r="B47" s="23" t="str">
        <f ca="1">IF($N47="","",39)</f>
        <v/>
      </c>
      <c r="C47" s="24" t="str">
        <f t="shared" ca="1" si="1"/>
        <v/>
      </c>
      <c r="D47" s="25" t="str">
        <f ca="1">IF($N47="","",INDEX(入出庫履歴!$K$10:$K$1009,$N47))</f>
        <v/>
      </c>
      <c r="E47" s="26" t="str">
        <f ca="1">IF($N47="","",INDEX(入出庫履歴!$O$10:$O$1009,$N47))</f>
        <v/>
      </c>
      <c r="F47" s="23" t="str">
        <f ca="1">IF($N47="","",INDEX(入出庫履歴!$L$10:$L$1009,$N47))</f>
        <v/>
      </c>
      <c r="G47" s="23" t="str">
        <f ca="1">IF($N47="","",INDEX(入出庫履歴!$E$10:$E$1009,$N47))</f>
        <v/>
      </c>
      <c r="H47" s="27" t="str">
        <f ca="1">IF($N47="","",INDEX(入出庫履歴!$F$10:$F$1009,$N47))</f>
        <v/>
      </c>
      <c r="I47" s="23" t="str">
        <f ca="1">IF($N47="","",IFERROR(INDEX(食材マスタ!$G$10:$G$309,MATCH(G47,食材マスタ!$C$10:$C$309,0)),""))</f>
        <v/>
      </c>
      <c r="J47" s="23" t="str">
        <f ca="1">IF($N47="","",IFERROR(INDEX(食材マスタ!$I$10:$I$309,MATCH(G47,食材マスタ!$C$10:$C$309,0)),""))</f>
        <v/>
      </c>
      <c r="K47" s="28" t="str">
        <f ca="1">IF($N47="","",INDEX(入出庫履歴!$N$10:$N$1009,$N47))</f>
        <v/>
      </c>
      <c r="L47" s="23" t="str">
        <f ca="1">IF($N47="","",INDEX(入出庫履歴!$H$10:$H$1009,$N47))</f>
        <v/>
      </c>
      <c r="M47" s="29" t="str">
        <f ca="1">IF($N47="","",ROUND(K47*INDEX(入出庫履歴!$I$10:$I$1009,$N47),0))</f>
        <v/>
      </c>
      <c r="N47" t="str">
        <f ca="1">IFERROR(MATCH(39,入出庫履歴!$V$10:$V$1009,0),"")</f>
        <v/>
      </c>
    </row>
    <row r="48" spans="2:14">
      <c r="B48" s="23" t="str">
        <f ca="1">IF($N48="","",40)</f>
        <v/>
      </c>
      <c r="C48" s="24" t="str">
        <f t="shared" ca="1" si="1"/>
        <v/>
      </c>
      <c r="D48" s="25" t="str">
        <f ca="1">IF($N48="","",INDEX(入出庫履歴!$K$10:$K$1009,$N48))</f>
        <v/>
      </c>
      <c r="E48" s="26" t="str">
        <f ca="1">IF($N48="","",INDEX(入出庫履歴!$O$10:$O$1009,$N48))</f>
        <v/>
      </c>
      <c r="F48" s="23" t="str">
        <f ca="1">IF($N48="","",INDEX(入出庫履歴!$L$10:$L$1009,$N48))</f>
        <v/>
      </c>
      <c r="G48" s="23" t="str">
        <f ca="1">IF($N48="","",INDEX(入出庫履歴!$E$10:$E$1009,$N48))</f>
        <v/>
      </c>
      <c r="H48" s="27" t="str">
        <f ca="1">IF($N48="","",INDEX(入出庫履歴!$F$10:$F$1009,$N48))</f>
        <v/>
      </c>
      <c r="I48" s="23" t="str">
        <f ca="1">IF($N48="","",IFERROR(INDEX(食材マスタ!$G$10:$G$309,MATCH(G48,食材マスタ!$C$10:$C$309,0)),""))</f>
        <v/>
      </c>
      <c r="J48" s="23" t="str">
        <f ca="1">IF($N48="","",IFERROR(INDEX(食材マスタ!$I$10:$I$309,MATCH(G48,食材マスタ!$C$10:$C$309,0)),""))</f>
        <v/>
      </c>
      <c r="K48" s="28" t="str">
        <f ca="1">IF($N48="","",INDEX(入出庫履歴!$N$10:$N$1009,$N48))</f>
        <v/>
      </c>
      <c r="L48" s="23" t="str">
        <f ca="1">IF($N48="","",INDEX(入出庫履歴!$H$10:$H$1009,$N48))</f>
        <v/>
      </c>
      <c r="M48" s="29" t="str">
        <f ca="1">IF($N48="","",ROUND(K48*INDEX(入出庫履歴!$I$10:$I$1009,$N48),0))</f>
        <v/>
      </c>
      <c r="N48" t="str">
        <f ca="1">IFERROR(MATCH(40,入出庫履歴!$V$10:$V$1009,0),"")</f>
        <v/>
      </c>
    </row>
    <row r="49" spans="2:14">
      <c r="B49" s="23" t="str">
        <f ca="1">IF($N49="","",41)</f>
        <v/>
      </c>
      <c r="C49" s="24" t="str">
        <f t="shared" ca="1" si="1"/>
        <v/>
      </c>
      <c r="D49" s="25" t="str">
        <f ca="1">IF($N49="","",INDEX(入出庫履歴!$K$10:$K$1009,$N49))</f>
        <v/>
      </c>
      <c r="E49" s="26" t="str">
        <f ca="1">IF($N49="","",INDEX(入出庫履歴!$O$10:$O$1009,$N49))</f>
        <v/>
      </c>
      <c r="F49" s="23" t="str">
        <f ca="1">IF($N49="","",INDEX(入出庫履歴!$L$10:$L$1009,$N49))</f>
        <v/>
      </c>
      <c r="G49" s="23" t="str">
        <f ca="1">IF($N49="","",INDEX(入出庫履歴!$E$10:$E$1009,$N49))</f>
        <v/>
      </c>
      <c r="H49" s="27" t="str">
        <f ca="1">IF($N49="","",INDEX(入出庫履歴!$F$10:$F$1009,$N49))</f>
        <v/>
      </c>
      <c r="I49" s="23" t="str">
        <f ca="1">IF($N49="","",IFERROR(INDEX(食材マスタ!$G$10:$G$309,MATCH(G49,食材マスタ!$C$10:$C$309,0)),""))</f>
        <v/>
      </c>
      <c r="J49" s="23" t="str">
        <f ca="1">IF($N49="","",IFERROR(INDEX(食材マスタ!$I$10:$I$309,MATCH(G49,食材マスタ!$C$10:$C$309,0)),""))</f>
        <v/>
      </c>
      <c r="K49" s="28" t="str">
        <f ca="1">IF($N49="","",INDEX(入出庫履歴!$N$10:$N$1009,$N49))</f>
        <v/>
      </c>
      <c r="L49" s="23" t="str">
        <f ca="1">IF($N49="","",INDEX(入出庫履歴!$H$10:$H$1009,$N49))</f>
        <v/>
      </c>
      <c r="M49" s="29" t="str">
        <f ca="1">IF($N49="","",ROUND(K49*INDEX(入出庫履歴!$I$10:$I$1009,$N49),0))</f>
        <v/>
      </c>
      <c r="N49" t="str">
        <f ca="1">IFERROR(MATCH(41,入出庫履歴!$V$10:$V$1009,0),"")</f>
        <v/>
      </c>
    </row>
    <row r="50" spans="2:14">
      <c r="B50" s="23" t="str">
        <f ca="1">IF($N50="","",42)</f>
        <v/>
      </c>
      <c r="C50" s="24" t="str">
        <f t="shared" ca="1" si="1"/>
        <v/>
      </c>
      <c r="D50" s="25" t="str">
        <f ca="1">IF($N50="","",INDEX(入出庫履歴!$K$10:$K$1009,$N50))</f>
        <v/>
      </c>
      <c r="E50" s="26" t="str">
        <f ca="1">IF($N50="","",INDEX(入出庫履歴!$O$10:$O$1009,$N50))</f>
        <v/>
      </c>
      <c r="F50" s="23" t="str">
        <f ca="1">IF($N50="","",INDEX(入出庫履歴!$L$10:$L$1009,$N50))</f>
        <v/>
      </c>
      <c r="G50" s="23" t="str">
        <f ca="1">IF($N50="","",INDEX(入出庫履歴!$E$10:$E$1009,$N50))</f>
        <v/>
      </c>
      <c r="H50" s="27" t="str">
        <f ca="1">IF($N50="","",INDEX(入出庫履歴!$F$10:$F$1009,$N50))</f>
        <v/>
      </c>
      <c r="I50" s="23" t="str">
        <f ca="1">IF($N50="","",IFERROR(INDEX(食材マスタ!$G$10:$G$309,MATCH(G50,食材マスタ!$C$10:$C$309,0)),""))</f>
        <v/>
      </c>
      <c r="J50" s="23" t="str">
        <f ca="1">IF($N50="","",IFERROR(INDEX(食材マスタ!$I$10:$I$309,MATCH(G50,食材マスタ!$C$10:$C$309,0)),""))</f>
        <v/>
      </c>
      <c r="K50" s="28" t="str">
        <f ca="1">IF($N50="","",INDEX(入出庫履歴!$N$10:$N$1009,$N50))</f>
        <v/>
      </c>
      <c r="L50" s="23" t="str">
        <f ca="1">IF($N50="","",INDEX(入出庫履歴!$H$10:$H$1009,$N50))</f>
        <v/>
      </c>
      <c r="M50" s="29" t="str">
        <f ca="1">IF($N50="","",ROUND(K50*INDEX(入出庫履歴!$I$10:$I$1009,$N50),0))</f>
        <v/>
      </c>
      <c r="N50" t="str">
        <f ca="1">IFERROR(MATCH(42,入出庫履歴!$V$10:$V$1009,0),"")</f>
        <v/>
      </c>
    </row>
    <row r="51" spans="2:14">
      <c r="B51" s="23" t="str">
        <f ca="1">IF($N51="","",43)</f>
        <v/>
      </c>
      <c r="C51" s="24" t="str">
        <f t="shared" ca="1" si="1"/>
        <v/>
      </c>
      <c r="D51" s="25" t="str">
        <f ca="1">IF($N51="","",INDEX(入出庫履歴!$K$10:$K$1009,$N51))</f>
        <v/>
      </c>
      <c r="E51" s="26" t="str">
        <f ca="1">IF($N51="","",INDEX(入出庫履歴!$O$10:$O$1009,$N51))</f>
        <v/>
      </c>
      <c r="F51" s="23" t="str">
        <f ca="1">IF($N51="","",INDEX(入出庫履歴!$L$10:$L$1009,$N51))</f>
        <v/>
      </c>
      <c r="G51" s="23" t="str">
        <f ca="1">IF($N51="","",INDEX(入出庫履歴!$E$10:$E$1009,$N51))</f>
        <v/>
      </c>
      <c r="H51" s="27" t="str">
        <f ca="1">IF($N51="","",INDEX(入出庫履歴!$F$10:$F$1009,$N51))</f>
        <v/>
      </c>
      <c r="I51" s="23" t="str">
        <f ca="1">IF($N51="","",IFERROR(INDEX(食材マスタ!$G$10:$G$309,MATCH(G51,食材マスタ!$C$10:$C$309,0)),""))</f>
        <v/>
      </c>
      <c r="J51" s="23" t="str">
        <f ca="1">IF($N51="","",IFERROR(INDEX(食材マスタ!$I$10:$I$309,MATCH(G51,食材マスタ!$C$10:$C$309,0)),""))</f>
        <v/>
      </c>
      <c r="K51" s="28" t="str">
        <f ca="1">IF($N51="","",INDEX(入出庫履歴!$N$10:$N$1009,$N51))</f>
        <v/>
      </c>
      <c r="L51" s="23" t="str">
        <f ca="1">IF($N51="","",INDEX(入出庫履歴!$H$10:$H$1009,$N51))</f>
        <v/>
      </c>
      <c r="M51" s="29" t="str">
        <f ca="1">IF($N51="","",ROUND(K51*INDEX(入出庫履歴!$I$10:$I$1009,$N51),0))</f>
        <v/>
      </c>
      <c r="N51" t="str">
        <f ca="1">IFERROR(MATCH(43,入出庫履歴!$V$10:$V$1009,0),"")</f>
        <v/>
      </c>
    </row>
    <row r="52" spans="2:14">
      <c r="B52" s="23" t="str">
        <f ca="1">IF($N52="","",44)</f>
        <v/>
      </c>
      <c r="C52" s="24" t="str">
        <f t="shared" ca="1" si="1"/>
        <v/>
      </c>
      <c r="D52" s="25" t="str">
        <f ca="1">IF($N52="","",INDEX(入出庫履歴!$K$10:$K$1009,$N52))</f>
        <v/>
      </c>
      <c r="E52" s="26" t="str">
        <f ca="1">IF($N52="","",INDEX(入出庫履歴!$O$10:$O$1009,$N52))</f>
        <v/>
      </c>
      <c r="F52" s="23" t="str">
        <f ca="1">IF($N52="","",INDEX(入出庫履歴!$L$10:$L$1009,$N52))</f>
        <v/>
      </c>
      <c r="G52" s="23" t="str">
        <f ca="1">IF($N52="","",INDEX(入出庫履歴!$E$10:$E$1009,$N52))</f>
        <v/>
      </c>
      <c r="H52" s="27" t="str">
        <f ca="1">IF($N52="","",INDEX(入出庫履歴!$F$10:$F$1009,$N52))</f>
        <v/>
      </c>
      <c r="I52" s="23" t="str">
        <f ca="1">IF($N52="","",IFERROR(INDEX(食材マスタ!$G$10:$G$309,MATCH(G52,食材マスタ!$C$10:$C$309,0)),""))</f>
        <v/>
      </c>
      <c r="J52" s="23" t="str">
        <f ca="1">IF($N52="","",IFERROR(INDEX(食材マスタ!$I$10:$I$309,MATCH(G52,食材マスタ!$C$10:$C$309,0)),""))</f>
        <v/>
      </c>
      <c r="K52" s="28" t="str">
        <f ca="1">IF($N52="","",INDEX(入出庫履歴!$N$10:$N$1009,$N52))</f>
        <v/>
      </c>
      <c r="L52" s="23" t="str">
        <f ca="1">IF($N52="","",INDEX(入出庫履歴!$H$10:$H$1009,$N52))</f>
        <v/>
      </c>
      <c r="M52" s="29" t="str">
        <f ca="1">IF($N52="","",ROUND(K52*INDEX(入出庫履歴!$I$10:$I$1009,$N52),0))</f>
        <v/>
      </c>
      <c r="N52" t="str">
        <f ca="1">IFERROR(MATCH(44,入出庫履歴!$V$10:$V$1009,0),"")</f>
        <v/>
      </c>
    </row>
    <row r="53" spans="2:14">
      <c r="B53" s="23" t="str">
        <f ca="1">IF($N53="","",45)</f>
        <v/>
      </c>
      <c r="C53" s="24" t="str">
        <f t="shared" ca="1" si="1"/>
        <v/>
      </c>
      <c r="D53" s="25" t="str">
        <f ca="1">IF($N53="","",INDEX(入出庫履歴!$K$10:$K$1009,$N53))</f>
        <v/>
      </c>
      <c r="E53" s="26" t="str">
        <f ca="1">IF($N53="","",INDEX(入出庫履歴!$O$10:$O$1009,$N53))</f>
        <v/>
      </c>
      <c r="F53" s="23" t="str">
        <f ca="1">IF($N53="","",INDEX(入出庫履歴!$L$10:$L$1009,$N53))</f>
        <v/>
      </c>
      <c r="G53" s="23" t="str">
        <f ca="1">IF($N53="","",INDEX(入出庫履歴!$E$10:$E$1009,$N53))</f>
        <v/>
      </c>
      <c r="H53" s="27" t="str">
        <f ca="1">IF($N53="","",INDEX(入出庫履歴!$F$10:$F$1009,$N53))</f>
        <v/>
      </c>
      <c r="I53" s="23" t="str">
        <f ca="1">IF($N53="","",IFERROR(INDEX(食材マスタ!$G$10:$G$309,MATCH(G53,食材マスタ!$C$10:$C$309,0)),""))</f>
        <v/>
      </c>
      <c r="J53" s="23" t="str">
        <f ca="1">IF($N53="","",IFERROR(INDEX(食材マスタ!$I$10:$I$309,MATCH(G53,食材マスタ!$C$10:$C$309,0)),""))</f>
        <v/>
      </c>
      <c r="K53" s="28" t="str">
        <f ca="1">IF($N53="","",INDEX(入出庫履歴!$N$10:$N$1009,$N53))</f>
        <v/>
      </c>
      <c r="L53" s="23" t="str">
        <f ca="1">IF($N53="","",INDEX(入出庫履歴!$H$10:$H$1009,$N53))</f>
        <v/>
      </c>
      <c r="M53" s="29" t="str">
        <f ca="1">IF($N53="","",ROUND(K53*INDEX(入出庫履歴!$I$10:$I$1009,$N53),0))</f>
        <v/>
      </c>
      <c r="N53" t="str">
        <f ca="1">IFERROR(MATCH(45,入出庫履歴!$V$10:$V$1009,0),"")</f>
        <v/>
      </c>
    </row>
    <row r="54" spans="2:14">
      <c r="B54" s="23" t="str">
        <f ca="1">IF($N54="","",46)</f>
        <v/>
      </c>
      <c r="C54" s="24" t="str">
        <f t="shared" ca="1" si="1"/>
        <v/>
      </c>
      <c r="D54" s="25" t="str">
        <f ca="1">IF($N54="","",INDEX(入出庫履歴!$K$10:$K$1009,$N54))</f>
        <v/>
      </c>
      <c r="E54" s="26" t="str">
        <f ca="1">IF($N54="","",INDEX(入出庫履歴!$O$10:$O$1009,$N54))</f>
        <v/>
      </c>
      <c r="F54" s="23" t="str">
        <f ca="1">IF($N54="","",INDEX(入出庫履歴!$L$10:$L$1009,$N54))</f>
        <v/>
      </c>
      <c r="G54" s="23" t="str">
        <f ca="1">IF($N54="","",INDEX(入出庫履歴!$E$10:$E$1009,$N54))</f>
        <v/>
      </c>
      <c r="H54" s="27" t="str">
        <f ca="1">IF($N54="","",INDEX(入出庫履歴!$F$10:$F$1009,$N54))</f>
        <v/>
      </c>
      <c r="I54" s="23" t="str">
        <f ca="1">IF($N54="","",IFERROR(INDEX(食材マスタ!$G$10:$G$309,MATCH(G54,食材マスタ!$C$10:$C$309,0)),""))</f>
        <v/>
      </c>
      <c r="J54" s="23" t="str">
        <f ca="1">IF($N54="","",IFERROR(INDEX(食材マスタ!$I$10:$I$309,MATCH(G54,食材マスタ!$C$10:$C$309,0)),""))</f>
        <v/>
      </c>
      <c r="K54" s="28" t="str">
        <f ca="1">IF($N54="","",INDEX(入出庫履歴!$N$10:$N$1009,$N54))</f>
        <v/>
      </c>
      <c r="L54" s="23" t="str">
        <f ca="1">IF($N54="","",INDEX(入出庫履歴!$H$10:$H$1009,$N54))</f>
        <v/>
      </c>
      <c r="M54" s="29" t="str">
        <f ca="1">IF($N54="","",ROUND(K54*INDEX(入出庫履歴!$I$10:$I$1009,$N54),0))</f>
        <v/>
      </c>
      <c r="N54" t="str">
        <f ca="1">IFERROR(MATCH(46,入出庫履歴!$V$10:$V$1009,0),"")</f>
        <v/>
      </c>
    </row>
    <row r="55" spans="2:14">
      <c r="B55" s="23" t="str">
        <f ca="1">IF($N55="","",47)</f>
        <v/>
      </c>
      <c r="C55" s="24" t="str">
        <f t="shared" ca="1" si="1"/>
        <v/>
      </c>
      <c r="D55" s="25" t="str">
        <f ca="1">IF($N55="","",INDEX(入出庫履歴!$K$10:$K$1009,$N55))</f>
        <v/>
      </c>
      <c r="E55" s="26" t="str">
        <f ca="1">IF($N55="","",INDEX(入出庫履歴!$O$10:$O$1009,$N55))</f>
        <v/>
      </c>
      <c r="F55" s="23" t="str">
        <f ca="1">IF($N55="","",INDEX(入出庫履歴!$L$10:$L$1009,$N55))</f>
        <v/>
      </c>
      <c r="G55" s="23" t="str">
        <f ca="1">IF($N55="","",INDEX(入出庫履歴!$E$10:$E$1009,$N55))</f>
        <v/>
      </c>
      <c r="H55" s="27" t="str">
        <f ca="1">IF($N55="","",INDEX(入出庫履歴!$F$10:$F$1009,$N55))</f>
        <v/>
      </c>
      <c r="I55" s="23" t="str">
        <f ca="1">IF($N55="","",IFERROR(INDEX(食材マスタ!$G$10:$G$309,MATCH(G55,食材マスタ!$C$10:$C$309,0)),""))</f>
        <v/>
      </c>
      <c r="J55" s="23" t="str">
        <f ca="1">IF($N55="","",IFERROR(INDEX(食材マスタ!$I$10:$I$309,MATCH(G55,食材マスタ!$C$10:$C$309,0)),""))</f>
        <v/>
      </c>
      <c r="K55" s="28" t="str">
        <f ca="1">IF($N55="","",INDEX(入出庫履歴!$N$10:$N$1009,$N55))</f>
        <v/>
      </c>
      <c r="L55" s="23" t="str">
        <f ca="1">IF($N55="","",INDEX(入出庫履歴!$H$10:$H$1009,$N55))</f>
        <v/>
      </c>
      <c r="M55" s="29" t="str">
        <f ca="1">IF($N55="","",ROUND(K55*INDEX(入出庫履歴!$I$10:$I$1009,$N55),0))</f>
        <v/>
      </c>
      <c r="N55" t="str">
        <f ca="1">IFERROR(MATCH(47,入出庫履歴!$V$10:$V$1009,0),"")</f>
        <v/>
      </c>
    </row>
    <row r="56" spans="2:14">
      <c r="B56" s="23" t="str">
        <f ca="1">IF($N56="","",48)</f>
        <v/>
      </c>
      <c r="C56" s="24" t="str">
        <f t="shared" ca="1" si="1"/>
        <v/>
      </c>
      <c r="D56" s="25" t="str">
        <f ca="1">IF($N56="","",INDEX(入出庫履歴!$K$10:$K$1009,$N56))</f>
        <v/>
      </c>
      <c r="E56" s="26" t="str">
        <f ca="1">IF($N56="","",INDEX(入出庫履歴!$O$10:$O$1009,$N56))</f>
        <v/>
      </c>
      <c r="F56" s="23" t="str">
        <f ca="1">IF($N56="","",INDEX(入出庫履歴!$L$10:$L$1009,$N56))</f>
        <v/>
      </c>
      <c r="G56" s="23" t="str">
        <f ca="1">IF($N56="","",INDEX(入出庫履歴!$E$10:$E$1009,$N56))</f>
        <v/>
      </c>
      <c r="H56" s="27" t="str">
        <f ca="1">IF($N56="","",INDEX(入出庫履歴!$F$10:$F$1009,$N56))</f>
        <v/>
      </c>
      <c r="I56" s="23" t="str">
        <f ca="1">IF($N56="","",IFERROR(INDEX(食材マスタ!$G$10:$G$309,MATCH(G56,食材マスタ!$C$10:$C$309,0)),""))</f>
        <v/>
      </c>
      <c r="J56" s="23" t="str">
        <f ca="1">IF($N56="","",IFERROR(INDEX(食材マスタ!$I$10:$I$309,MATCH(G56,食材マスタ!$C$10:$C$309,0)),""))</f>
        <v/>
      </c>
      <c r="K56" s="28" t="str">
        <f ca="1">IF($N56="","",INDEX(入出庫履歴!$N$10:$N$1009,$N56))</f>
        <v/>
      </c>
      <c r="L56" s="23" t="str">
        <f ca="1">IF($N56="","",INDEX(入出庫履歴!$H$10:$H$1009,$N56))</f>
        <v/>
      </c>
      <c r="M56" s="29" t="str">
        <f ca="1">IF($N56="","",ROUND(K56*INDEX(入出庫履歴!$I$10:$I$1009,$N56),0))</f>
        <v/>
      </c>
      <c r="N56" t="str">
        <f ca="1">IFERROR(MATCH(48,入出庫履歴!$V$10:$V$1009,0),"")</f>
        <v/>
      </c>
    </row>
    <row r="57" spans="2:14">
      <c r="B57" s="23" t="str">
        <f ca="1">IF($N57="","",49)</f>
        <v/>
      </c>
      <c r="C57" s="24" t="str">
        <f t="shared" ca="1" si="1"/>
        <v/>
      </c>
      <c r="D57" s="25" t="str">
        <f ca="1">IF($N57="","",INDEX(入出庫履歴!$K$10:$K$1009,$N57))</f>
        <v/>
      </c>
      <c r="E57" s="26" t="str">
        <f ca="1">IF($N57="","",INDEX(入出庫履歴!$O$10:$O$1009,$N57))</f>
        <v/>
      </c>
      <c r="F57" s="23" t="str">
        <f ca="1">IF($N57="","",INDEX(入出庫履歴!$L$10:$L$1009,$N57))</f>
        <v/>
      </c>
      <c r="G57" s="23" t="str">
        <f ca="1">IF($N57="","",INDEX(入出庫履歴!$E$10:$E$1009,$N57))</f>
        <v/>
      </c>
      <c r="H57" s="27" t="str">
        <f ca="1">IF($N57="","",INDEX(入出庫履歴!$F$10:$F$1009,$N57))</f>
        <v/>
      </c>
      <c r="I57" s="23" t="str">
        <f ca="1">IF($N57="","",IFERROR(INDEX(食材マスタ!$G$10:$G$309,MATCH(G57,食材マスタ!$C$10:$C$309,0)),""))</f>
        <v/>
      </c>
      <c r="J57" s="23" t="str">
        <f ca="1">IF($N57="","",IFERROR(INDEX(食材マスタ!$I$10:$I$309,MATCH(G57,食材マスタ!$C$10:$C$309,0)),""))</f>
        <v/>
      </c>
      <c r="K57" s="28" t="str">
        <f ca="1">IF($N57="","",INDEX(入出庫履歴!$N$10:$N$1009,$N57))</f>
        <v/>
      </c>
      <c r="L57" s="23" t="str">
        <f ca="1">IF($N57="","",INDEX(入出庫履歴!$H$10:$H$1009,$N57))</f>
        <v/>
      </c>
      <c r="M57" s="29" t="str">
        <f ca="1">IF($N57="","",ROUND(K57*INDEX(入出庫履歴!$I$10:$I$1009,$N57),0))</f>
        <v/>
      </c>
      <c r="N57" t="str">
        <f ca="1">IFERROR(MATCH(49,入出庫履歴!$V$10:$V$1009,0),"")</f>
        <v/>
      </c>
    </row>
    <row r="58" spans="2:14">
      <c r="B58" s="23" t="str">
        <f ca="1">IF($N58="","",50)</f>
        <v/>
      </c>
      <c r="C58" s="24" t="str">
        <f t="shared" ca="1" si="1"/>
        <v/>
      </c>
      <c r="D58" s="25" t="str">
        <f ca="1">IF($N58="","",INDEX(入出庫履歴!$K$10:$K$1009,$N58))</f>
        <v/>
      </c>
      <c r="E58" s="26" t="str">
        <f ca="1">IF($N58="","",INDEX(入出庫履歴!$O$10:$O$1009,$N58))</f>
        <v/>
      </c>
      <c r="F58" s="23" t="str">
        <f ca="1">IF($N58="","",INDEX(入出庫履歴!$L$10:$L$1009,$N58))</f>
        <v/>
      </c>
      <c r="G58" s="23" t="str">
        <f ca="1">IF($N58="","",INDEX(入出庫履歴!$E$10:$E$1009,$N58))</f>
        <v/>
      </c>
      <c r="H58" s="27" t="str">
        <f ca="1">IF($N58="","",INDEX(入出庫履歴!$F$10:$F$1009,$N58))</f>
        <v/>
      </c>
      <c r="I58" s="23" t="str">
        <f ca="1">IF($N58="","",IFERROR(INDEX(食材マスタ!$G$10:$G$309,MATCH(G58,食材マスタ!$C$10:$C$309,0)),""))</f>
        <v/>
      </c>
      <c r="J58" s="23" t="str">
        <f ca="1">IF($N58="","",IFERROR(INDEX(食材マスタ!$I$10:$I$309,MATCH(G58,食材マスタ!$C$10:$C$309,0)),""))</f>
        <v/>
      </c>
      <c r="K58" s="28" t="str">
        <f ca="1">IF($N58="","",INDEX(入出庫履歴!$N$10:$N$1009,$N58))</f>
        <v/>
      </c>
      <c r="L58" s="23" t="str">
        <f ca="1">IF($N58="","",INDEX(入出庫履歴!$H$10:$H$1009,$N58))</f>
        <v/>
      </c>
      <c r="M58" s="29" t="str">
        <f ca="1">IF($N58="","",ROUND(K58*INDEX(入出庫履歴!$I$10:$I$1009,$N58),0))</f>
        <v/>
      </c>
      <c r="N58" t="str">
        <f ca="1">IFERROR(MATCH(50,入出庫履歴!$V$10:$V$1009,0),"")</f>
        <v/>
      </c>
    </row>
  </sheetData>
  <mergeCells count="7">
    <mergeCell ref="B3:E5"/>
    <mergeCell ref="B6:D6"/>
    <mergeCell ref="E6:G6"/>
    <mergeCell ref="H6:I6"/>
    <mergeCell ref="B7:D7"/>
    <mergeCell ref="E7:G7"/>
    <mergeCell ref="H7:I7"/>
  </mergeCells>
  <phoneticPr fontId="17"/>
  <conditionalFormatting sqref="C9:C58">
    <cfRule type="expression" dxfId="5" priority="2">
      <formula>C9="期限切れ"</formula>
    </cfRule>
    <cfRule type="expression" dxfId="4" priority="3">
      <formula>C9="期限間近"</formula>
    </cfRule>
  </conditionalFormatting>
  <hyperlinks>
    <hyperlink ref="A1" r:id="rId1" display="テンプレート倉庫" xr:uid="{E7478EA3-43C7-4ED3-8119-31E4A56323D6}"/>
  </hyperlinks>
  <pageMargins left="0.62992125984251968" right="0.39370078740157483" top="0.47244094488188981" bottom="0.23622047244094491" header="0.39370078740157483" footer="0.15748031496062992"/>
  <pageSetup scale="88" fitToHeight="0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I58"/>
  <sheetViews>
    <sheetView showGridLines="0" zoomScaleNormal="100" workbookViewId="0"/>
  </sheetViews>
  <sheetFormatPr defaultColWidth="8.7109375" defaultRowHeight="15"/>
  <cols>
    <col min="1" max="1" width="2" customWidth="1"/>
    <col min="2" max="2" width="4" customWidth="1"/>
    <col min="3" max="3" width="10" customWidth="1"/>
    <col min="4" max="4" width="16" customWidth="1"/>
    <col min="5" max="5" width="15" customWidth="1"/>
    <col min="6" max="6" width="12" customWidth="1"/>
    <col min="7" max="9" width="7" customWidth="1"/>
    <col min="10" max="10" width="8" customWidth="1"/>
    <col min="11" max="11" width="6" customWidth="1"/>
    <col min="12" max="12" width="8" customWidth="1"/>
    <col min="13" max="13" width="11" customWidth="1"/>
    <col min="14" max="14" width="8" customWidth="1"/>
    <col min="15" max="15" width="13" hidden="1" customWidth="1"/>
  </cols>
  <sheetData>
    <row r="1" spans="1:35" s="53" customFormat="1" ht="45" customHeight="1">
      <c r="A1" s="52" t="s">
        <v>181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</row>
    <row r="2" spans="1:35" ht="27" customHeight="1">
      <c r="B2" s="56" t="s">
        <v>184</v>
      </c>
    </row>
    <row r="3" spans="1:35" ht="12" customHeight="1">
      <c r="B3" s="54" t="s">
        <v>146</v>
      </c>
      <c r="C3" s="54"/>
      <c r="D3" s="54"/>
      <c r="E3" s="54"/>
    </row>
    <row r="4" spans="1:35" ht="12" customHeight="1">
      <c r="B4" s="54"/>
      <c r="C4" s="54"/>
      <c r="D4" s="54"/>
      <c r="E4" s="54"/>
    </row>
    <row r="5" spans="1:35" ht="12" customHeight="1">
      <c r="B5" s="55"/>
      <c r="C5" s="55"/>
      <c r="D5" s="55"/>
      <c r="E5" s="55"/>
    </row>
    <row r="6" spans="1:35" ht="19.5" customHeight="1">
      <c r="B6" s="5" t="s">
        <v>147</v>
      </c>
      <c r="C6" s="5"/>
      <c r="D6" s="5"/>
      <c r="E6" s="5" t="s">
        <v>148</v>
      </c>
      <c r="F6" s="5"/>
    </row>
    <row r="7" spans="1:35" ht="30" customHeight="1">
      <c r="B7" s="3">
        <f>COUNT($O$9:$O$58)</f>
        <v>4</v>
      </c>
      <c r="C7" s="3"/>
      <c r="D7" s="3"/>
      <c r="E7" s="2">
        <f>SUM($M$9:$M$58)</f>
        <v>23960</v>
      </c>
      <c r="F7" s="2"/>
    </row>
    <row r="8" spans="1:35" ht="30" customHeight="1">
      <c r="B8" s="6" t="s">
        <v>141</v>
      </c>
      <c r="C8" s="7" t="s">
        <v>9</v>
      </c>
      <c r="D8" s="7" t="s">
        <v>10</v>
      </c>
      <c r="E8" s="7" t="s">
        <v>11</v>
      </c>
      <c r="F8" s="7" t="s">
        <v>16</v>
      </c>
      <c r="G8" s="7" t="s">
        <v>13</v>
      </c>
      <c r="H8" s="7" t="s">
        <v>22</v>
      </c>
      <c r="I8" s="7" t="s">
        <v>24</v>
      </c>
      <c r="J8" s="7" t="s">
        <v>27</v>
      </c>
      <c r="K8" s="7" t="s">
        <v>14</v>
      </c>
      <c r="L8" s="7" t="s">
        <v>17</v>
      </c>
      <c r="M8" s="7" t="s">
        <v>149</v>
      </c>
      <c r="N8" s="7" t="s">
        <v>150</v>
      </c>
    </row>
    <row r="9" spans="1:35">
      <c r="B9" s="23">
        <f>IF(O9="","",1)</f>
        <v>1</v>
      </c>
      <c r="C9" s="23" t="str">
        <f>IF($O9="","",INDEX(食材マスタ!$C$10:$C$309,$O9))</f>
        <v>FS-001</v>
      </c>
      <c r="D9" s="27" t="str">
        <f>IF($O9="","",INDEX(食材マスタ!$D$10:$D$309,$O9))</f>
        <v>サーモン切身</v>
      </c>
      <c r="E9" s="27" t="str">
        <f>IF($O9="","",INDEX(食材マスタ!$E$10:$E$309,$O9))</f>
        <v>ノルウェー産 80g</v>
      </c>
      <c r="F9" s="27" t="str">
        <f>IF($O9="","",INDEX(食材マスタ!$J$10:$J$309,$O9))</f>
        <v>○○水産</v>
      </c>
      <c r="G9" s="23" t="str">
        <f>IF($O9="","",INDEX(食材マスタ!$G$10:$G$309,$O9))</f>
        <v>冷凍</v>
      </c>
      <c r="H9" s="28">
        <f>IF($O9="","",INDEX(食材マスタ!$P$10:$P$309,$O9))</f>
        <v>2</v>
      </c>
      <c r="I9" s="28">
        <f>IF($O9="","",INDEX(食材マスタ!$R$10:$R$309,$O9))</f>
        <v>3</v>
      </c>
      <c r="J9" s="28">
        <f>IF($O9="","",INDEX(食材マスタ!$U$10:$U$309,$O9))</f>
        <v>5</v>
      </c>
      <c r="K9" s="23" t="str">
        <f>IF($O9="","",INDEX(食材マスタ!$H$10:$H$309,$O9))</f>
        <v>kg</v>
      </c>
      <c r="L9" s="29">
        <f>IF($O9="","",INDEX(食材マスタ!$K$10:$K$309,$O9))</f>
        <v>2800</v>
      </c>
      <c r="M9" s="29">
        <f t="shared" ref="M9:M40" si="0">IF(OR($O9="",L9="",J9=""),"",ROUND(J9*L9,0))</f>
        <v>14000</v>
      </c>
      <c r="N9" s="24" t="str">
        <f>IF($O9="","",INDEX(食材マスタ!$T$10:$T$309,$O9))</f>
        <v>要発注</v>
      </c>
      <c r="O9">
        <f>IFERROR(MATCH(1,食材マスタ!$Z$10:$Z$309,0),"")</f>
        <v>2</v>
      </c>
    </row>
    <row r="10" spans="1:35">
      <c r="B10" s="23">
        <f>IF(O10="","",2)</f>
        <v>2</v>
      </c>
      <c r="C10" s="23" t="str">
        <f>IF($O10="","",INDEX(食材マスタ!$C$10:$C$309,$O10))</f>
        <v>VG-001</v>
      </c>
      <c r="D10" s="27" t="str">
        <f>IF($O10="","",INDEX(食材マスタ!$D$10:$D$309,$O10))</f>
        <v>玉ねぎ</v>
      </c>
      <c r="E10" s="27" t="str">
        <f>IF($O10="","",INDEX(食材マスタ!$E$10:$E$309,$O10))</f>
        <v>北海道産 L</v>
      </c>
      <c r="F10" s="27" t="str">
        <f>IF($O10="","",INDEX(食材マスタ!$J$10:$J$309,$O10))</f>
        <v>○○青果</v>
      </c>
      <c r="G10" s="23" t="str">
        <f>IF($O10="","",INDEX(食材マスタ!$G$10:$G$309,$O10))</f>
        <v>常温</v>
      </c>
      <c r="H10" s="28">
        <f>IF($O10="","",INDEX(食材マスタ!$P$10:$P$309,$O10))</f>
        <v>7.6</v>
      </c>
      <c r="I10" s="28">
        <f>IF($O10="","",INDEX(食材マスタ!$R$10:$R$309,$O10))</f>
        <v>10</v>
      </c>
      <c r="J10" s="28">
        <f>IF($O10="","",INDEX(食材マスタ!$U$10:$U$309,$O10))</f>
        <v>20</v>
      </c>
      <c r="K10" s="23" t="str">
        <f>IF($O10="","",INDEX(食材マスタ!$H$10:$H$309,$O10))</f>
        <v>kg</v>
      </c>
      <c r="L10" s="29">
        <f>IF($O10="","",INDEX(食材マスタ!$K$10:$K$309,$O10))</f>
        <v>220</v>
      </c>
      <c r="M10" s="29">
        <f t="shared" si="0"/>
        <v>4400</v>
      </c>
      <c r="N10" s="24" t="str">
        <f>IF($O10="","",INDEX(食材マスタ!$T$10:$T$309,$O10))</f>
        <v>要発注</v>
      </c>
      <c r="O10">
        <f>IFERROR(MATCH(2,食材マスタ!$Z$10:$Z$309,0),"")</f>
        <v>3</v>
      </c>
    </row>
    <row r="11" spans="1:35">
      <c r="B11" s="23">
        <f>IF(O11="","",3)</f>
        <v>3</v>
      </c>
      <c r="C11" s="23" t="str">
        <f>IF($O11="","",INDEX(食材マスタ!$C$10:$C$309,$O11))</f>
        <v>DY-001</v>
      </c>
      <c r="D11" s="27" t="str">
        <f>IF($O11="","",INDEX(食材マスタ!$D$10:$D$309,$O11))</f>
        <v>牛乳</v>
      </c>
      <c r="E11" s="27" t="str">
        <f>IF($O11="","",INDEX(食材マスタ!$E$10:$E$309,$O11))</f>
        <v>1L 成分無調整</v>
      </c>
      <c r="F11" s="27" t="str">
        <f>IF($O11="","",INDEX(食材マスタ!$J$10:$J$309,$O11))</f>
        <v>○○乳業</v>
      </c>
      <c r="G11" s="23" t="str">
        <f>IF($O11="","",INDEX(食材マスタ!$G$10:$G$309,$O11))</f>
        <v>冷蔵</v>
      </c>
      <c r="H11" s="28">
        <f>IF($O11="","",INDEX(食材マスタ!$P$10:$P$309,$O11))</f>
        <v>6</v>
      </c>
      <c r="I11" s="28">
        <f>IF($O11="","",INDEX(食材マスタ!$R$10:$R$309,$O11))</f>
        <v>6</v>
      </c>
      <c r="J11" s="28">
        <f>IF($O11="","",INDEX(食材マスタ!$U$10:$U$309,$O11))</f>
        <v>12</v>
      </c>
      <c r="K11" s="23" t="str">
        <f>IF($O11="","",INDEX(食材マスタ!$H$10:$H$309,$O11))</f>
        <v>本</v>
      </c>
      <c r="L11" s="29">
        <f>IF($O11="","",INDEX(食材マスタ!$K$10:$K$309,$O11))</f>
        <v>230</v>
      </c>
      <c r="M11" s="29">
        <f t="shared" si="0"/>
        <v>2760</v>
      </c>
      <c r="N11" s="24" t="str">
        <f>IF($O11="","",INDEX(食材マスタ!$T$10:$T$309,$O11))</f>
        <v>要発注</v>
      </c>
      <c r="O11">
        <f>IFERROR(MATCH(3,食材マスタ!$Z$10:$Z$309,0),"")</f>
        <v>5</v>
      </c>
    </row>
    <row r="12" spans="1:35">
      <c r="B12" s="23">
        <f>IF(O12="","",4)</f>
        <v>4</v>
      </c>
      <c r="C12" s="23" t="str">
        <f>IF($O12="","",INDEX(食材マスタ!$C$10:$C$309,$O12))</f>
        <v>DY-002</v>
      </c>
      <c r="D12" s="27" t="str">
        <f>IF($O12="","",INDEX(食材マスタ!$D$10:$D$309,$O12))</f>
        <v>鶏卵</v>
      </c>
      <c r="E12" s="27" t="str">
        <f>IF($O12="","",INDEX(食材マスタ!$E$10:$E$309,$O12))</f>
        <v>M 10個入</v>
      </c>
      <c r="F12" s="27" t="str">
        <f>IF($O12="","",INDEX(食材マスタ!$J$10:$J$309,$O12))</f>
        <v>○○養鶏</v>
      </c>
      <c r="G12" s="23" t="str">
        <f>IF($O12="","",INDEX(食材マスタ!$G$10:$G$309,$O12))</f>
        <v>冷蔵</v>
      </c>
      <c r="H12" s="28">
        <f>IF($O12="","",INDEX(食材マスタ!$P$10:$P$309,$O12))</f>
        <v>0</v>
      </c>
      <c r="I12" s="28">
        <f>IF($O12="","",INDEX(食材マスタ!$R$10:$R$309,$O12))</f>
        <v>4</v>
      </c>
      <c r="J12" s="28">
        <f>IF($O12="","",INDEX(食材マスタ!$U$10:$U$309,$O12))</f>
        <v>10</v>
      </c>
      <c r="K12" s="23" t="str">
        <f>IF($O12="","",INDEX(食材マスタ!$H$10:$H$309,$O12))</f>
        <v>パック</v>
      </c>
      <c r="L12" s="29">
        <f>IF($O12="","",INDEX(食材マスタ!$K$10:$K$309,$O12))</f>
        <v>280</v>
      </c>
      <c r="M12" s="29">
        <f t="shared" si="0"/>
        <v>2800</v>
      </c>
      <c r="N12" s="24" t="str">
        <f>IF($O12="","",INDEX(食材マスタ!$T$10:$T$309,$O12))</f>
        <v>欠品</v>
      </c>
      <c r="O12">
        <f>IFERROR(MATCH(4,食材マスタ!$Z$10:$Z$309,0),"")</f>
        <v>6</v>
      </c>
    </row>
    <row r="13" spans="1:35">
      <c r="B13" s="23" t="str">
        <f>IF(O13="","",5)</f>
        <v/>
      </c>
      <c r="C13" s="23" t="str">
        <f>IF($O13="","",INDEX(食材マスタ!$C$10:$C$309,$O13))</f>
        <v/>
      </c>
      <c r="D13" s="27" t="str">
        <f>IF($O13="","",INDEX(食材マスタ!$D$10:$D$309,$O13))</f>
        <v/>
      </c>
      <c r="E13" s="27" t="str">
        <f>IF($O13="","",INDEX(食材マスタ!$E$10:$E$309,$O13))</f>
        <v/>
      </c>
      <c r="F13" s="27" t="str">
        <f>IF($O13="","",INDEX(食材マスタ!$J$10:$J$309,$O13))</f>
        <v/>
      </c>
      <c r="G13" s="23" t="str">
        <f>IF($O13="","",INDEX(食材マスタ!$G$10:$G$309,$O13))</f>
        <v/>
      </c>
      <c r="H13" s="28" t="str">
        <f>IF($O13="","",INDEX(食材マスタ!$P$10:$P$309,$O13))</f>
        <v/>
      </c>
      <c r="I13" s="28" t="str">
        <f>IF($O13="","",INDEX(食材マスタ!$R$10:$R$309,$O13))</f>
        <v/>
      </c>
      <c r="J13" s="28" t="str">
        <f>IF($O13="","",INDEX(食材マスタ!$U$10:$U$309,$O13))</f>
        <v/>
      </c>
      <c r="K13" s="23" t="str">
        <f>IF($O13="","",INDEX(食材マスタ!$H$10:$H$309,$O13))</f>
        <v/>
      </c>
      <c r="L13" s="29" t="str">
        <f>IF($O13="","",INDEX(食材マスタ!$K$10:$K$309,$O13))</f>
        <v/>
      </c>
      <c r="M13" s="29" t="str">
        <f t="shared" si="0"/>
        <v/>
      </c>
      <c r="N13" s="24" t="str">
        <f>IF($O13="","",INDEX(食材マスタ!$T$10:$T$309,$O13))</f>
        <v/>
      </c>
      <c r="O13" t="str">
        <f>IFERROR(MATCH(5,食材マスタ!$Z$10:$Z$309,0),"")</f>
        <v/>
      </c>
    </row>
    <row r="14" spans="1:35">
      <c r="B14" s="23" t="str">
        <f>IF(O14="","",6)</f>
        <v/>
      </c>
      <c r="C14" s="23" t="str">
        <f>IF($O14="","",INDEX(食材マスタ!$C$10:$C$309,$O14))</f>
        <v/>
      </c>
      <c r="D14" s="27" t="str">
        <f>IF($O14="","",INDEX(食材マスタ!$D$10:$D$309,$O14))</f>
        <v/>
      </c>
      <c r="E14" s="27" t="str">
        <f>IF($O14="","",INDEX(食材マスタ!$E$10:$E$309,$O14))</f>
        <v/>
      </c>
      <c r="F14" s="27" t="str">
        <f>IF($O14="","",INDEX(食材マスタ!$J$10:$J$309,$O14))</f>
        <v/>
      </c>
      <c r="G14" s="23" t="str">
        <f>IF($O14="","",INDEX(食材マスタ!$G$10:$G$309,$O14))</f>
        <v/>
      </c>
      <c r="H14" s="28" t="str">
        <f>IF($O14="","",INDEX(食材マスタ!$P$10:$P$309,$O14))</f>
        <v/>
      </c>
      <c r="I14" s="28" t="str">
        <f>IF($O14="","",INDEX(食材マスタ!$R$10:$R$309,$O14))</f>
        <v/>
      </c>
      <c r="J14" s="28" t="str">
        <f>IF($O14="","",INDEX(食材マスタ!$U$10:$U$309,$O14))</f>
        <v/>
      </c>
      <c r="K14" s="23" t="str">
        <f>IF($O14="","",INDEX(食材マスタ!$H$10:$H$309,$O14))</f>
        <v/>
      </c>
      <c r="L14" s="29" t="str">
        <f>IF($O14="","",INDEX(食材マスタ!$K$10:$K$309,$O14))</f>
        <v/>
      </c>
      <c r="M14" s="29" t="str">
        <f t="shared" si="0"/>
        <v/>
      </c>
      <c r="N14" s="24" t="str">
        <f>IF($O14="","",INDEX(食材マスタ!$T$10:$T$309,$O14))</f>
        <v/>
      </c>
      <c r="O14" t="str">
        <f>IFERROR(MATCH(6,食材マスタ!$Z$10:$Z$309,0),"")</f>
        <v/>
      </c>
    </row>
    <row r="15" spans="1:35">
      <c r="B15" s="23" t="str">
        <f>IF(O15="","",7)</f>
        <v/>
      </c>
      <c r="C15" s="23" t="str">
        <f>IF($O15="","",INDEX(食材マスタ!$C$10:$C$309,$O15))</f>
        <v/>
      </c>
      <c r="D15" s="27" t="str">
        <f>IF($O15="","",INDEX(食材マスタ!$D$10:$D$309,$O15))</f>
        <v/>
      </c>
      <c r="E15" s="27" t="str">
        <f>IF($O15="","",INDEX(食材マスタ!$E$10:$E$309,$O15))</f>
        <v/>
      </c>
      <c r="F15" s="27" t="str">
        <f>IF($O15="","",INDEX(食材マスタ!$J$10:$J$309,$O15))</f>
        <v/>
      </c>
      <c r="G15" s="23" t="str">
        <f>IF($O15="","",INDEX(食材マスタ!$G$10:$G$309,$O15))</f>
        <v/>
      </c>
      <c r="H15" s="28" t="str">
        <f>IF($O15="","",INDEX(食材マスタ!$P$10:$P$309,$O15))</f>
        <v/>
      </c>
      <c r="I15" s="28" t="str">
        <f>IF($O15="","",INDEX(食材マスタ!$R$10:$R$309,$O15))</f>
        <v/>
      </c>
      <c r="J15" s="28" t="str">
        <f>IF($O15="","",INDEX(食材マスタ!$U$10:$U$309,$O15))</f>
        <v/>
      </c>
      <c r="K15" s="23" t="str">
        <f>IF($O15="","",INDEX(食材マスタ!$H$10:$H$309,$O15))</f>
        <v/>
      </c>
      <c r="L15" s="29" t="str">
        <f>IF($O15="","",INDEX(食材マスタ!$K$10:$K$309,$O15))</f>
        <v/>
      </c>
      <c r="M15" s="29" t="str">
        <f t="shared" si="0"/>
        <v/>
      </c>
      <c r="N15" s="24" t="str">
        <f>IF($O15="","",INDEX(食材マスタ!$T$10:$T$309,$O15))</f>
        <v/>
      </c>
      <c r="O15" t="str">
        <f>IFERROR(MATCH(7,食材マスタ!$Z$10:$Z$309,0),"")</f>
        <v/>
      </c>
    </row>
    <row r="16" spans="1:35">
      <c r="B16" s="23" t="str">
        <f>IF(O16="","",8)</f>
        <v/>
      </c>
      <c r="C16" s="23" t="str">
        <f>IF($O16="","",INDEX(食材マスタ!$C$10:$C$309,$O16))</f>
        <v/>
      </c>
      <c r="D16" s="27" t="str">
        <f>IF($O16="","",INDEX(食材マスタ!$D$10:$D$309,$O16))</f>
        <v/>
      </c>
      <c r="E16" s="27" t="str">
        <f>IF($O16="","",INDEX(食材マスタ!$E$10:$E$309,$O16))</f>
        <v/>
      </c>
      <c r="F16" s="27" t="str">
        <f>IF($O16="","",INDEX(食材マスタ!$J$10:$J$309,$O16))</f>
        <v/>
      </c>
      <c r="G16" s="23" t="str">
        <f>IF($O16="","",INDEX(食材マスタ!$G$10:$G$309,$O16))</f>
        <v/>
      </c>
      <c r="H16" s="28" t="str">
        <f>IF($O16="","",INDEX(食材マスタ!$P$10:$P$309,$O16))</f>
        <v/>
      </c>
      <c r="I16" s="28" t="str">
        <f>IF($O16="","",INDEX(食材マスタ!$R$10:$R$309,$O16))</f>
        <v/>
      </c>
      <c r="J16" s="28" t="str">
        <f>IF($O16="","",INDEX(食材マスタ!$U$10:$U$309,$O16))</f>
        <v/>
      </c>
      <c r="K16" s="23" t="str">
        <f>IF($O16="","",INDEX(食材マスタ!$H$10:$H$309,$O16))</f>
        <v/>
      </c>
      <c r="L16" s="29" t="str">
        <f>IF($O16="","",INDEX(食材マスタ!$K$10:$K$309,$O16))</f>
        <v/>
      </c>
      <c r="M16" s="29" t="str">
        <f t="shared" si="0"/>
        <v/>
      </c>
      <c r="N16" s="24" t="str">
        <f>IF($O16="","",INDEX(食材マスタ!$T$10:$T$309,$O16))</f>
        <v/>
      </c>
      <c r="O16" t="str">
        <f>IFERROR(MATCH(8,食材マスタ!$Z$10:$Z$309,0),"")</f>
        <v/>
      </c>
    </row>
    <row r="17" spans="2:15">
      <c r="B17" s="23" t="str">
        <f>IF(O17="","",9)</f>
        <v/>
      </c>
      <c r="C17" s="23" t="str">
        <f>IF($O17="","",INDEX(食材マスタ!$C$10:$C$309,$O17))</f>
        <v/>
      </c>
      <c r="D17" s="27" t="str">
        <f>IF($O17="","",INDEX(食材マスタ!$D$10:$D$309,$O17))</f>
        <v/>
      </c>
      <c r="E17" s="27" t="str">
        <f>IF($O17="","",INDEX(食材マスタ!$E$10:$E$309,$O17))</f>
        <v/>
      </c>
      <c r="F17" s="27" t="str">
        <f>IF($O17="","",INDEX(食材マスタ!$J$10:$J$309,$O17))</f>
        <v/>
      </c>
      <c r="G17" s="23" t="str">
        <f>IF($O17="","",INDEX(食材マスタ!$G$10:$G$309,$O17))</f>
        <v/>
      </c>
      <c r="H17" s="28" t="str">
        <f>IF($O17="","",INDEX(食材マスタ!$P$10:$P$309,$O17))</f>
        <v/>
      </c>
      <c r="I17" s="28" t="str">
        <f>IF($O17="","",INDEX(食材マスタ!$R$10:$R$309,$O17))</f>
        <v/>
      </c>
      <c r="J17" s="28" t="str">
        <f>IF($O17="","",INDEX(食材マスタ!$U$10:$U$309,$O17))</f>
        <v/>
      </c>
      <c r="K17" s="23" t="str">
        <f>IF($O17="","",INDEX(食材マスタ!$H$10:$H$309,$O17))</f>
        <v/>
      </c>
      <c r="L17" s="29" t="str">
        <f>IF($O17="","",INDEX(食材マスタ!$K$10:$K$309,$O17))</f>
        <v/>
      </c>
      <c r="M17" s="29" t="str">
        <f t="shared" si="0"/>
        <v/>
      </c>
      <c r="N17" s="24" t="str">
        <f>IF($O17="","",INDEX(食材マスタ!$T$10:$T$309,$O17))</f>
        <v/>
      </c>
      <c r="O17" t="str">
        <f>IFERROR(MATCH(9,食材マスタ!$Z$10:$Z$309,0),"")</f>
        <v/>
      </c>
    </row>
    <row r="18" spans="2:15">
      <c r="B18" s="23" t="str">
        <f>IF(O18="","",10)</f>
        <v/>
      </c>
      <c r="C18" s="23" t="str">
        <f>IF($O18="","",INDEX(食材マスタ!$C$10:$C$309,$O18))</f>
        <v/>
      </c>
      <c r="D18" s="27" t="str">
        <f>IF($O18="","",INDEX(食材マスタ!$D$10:$D$309,$O18))</f>
        <v/>
      </c>
      <c r="E18" s="27" t="str">
        <f>IF($O18="","",INDEX(食材マスタ!$E$10:$E$309,$O18))</f>
        <v/>
      </c>
      <c r="F18" s="27" t="str">
        <f>IF($O18="","",INDEX(食材マスタ!$J$10:$J$309,$O18))</f>
        <v/>
      </c>
      <c r="G18" s="23" t="str">
        <f>IF($O18="","",INDEX(食材マスタ!$G$10:$G$309,$O18))</f>
        <v/>
      </c>
      <c r="H18" s="28" t="str">
        <f>IF($O18="","",INDEX(食材マスタ!$P$10:$P$309,$O18))</f>
        <v/>
      </c>
      <c r="I18" s="28" t="str">
        <f>IF($O18="","",INDEX(食材マスタ!$R$10:$R$309,$O18))</f>
        <v/>
      </c>
      <c r="J18" s="28" t="str">
        <f>IF($O18="","",INDEX(食材マスタ!$U$10:$U$309,$O18))</f>
        <v/>
      </c>
      <c r="K18" s="23" t="str">
        <f>IF($O18="","",INDEX(食材マスタ!$H$10:$H$309,$O18))</f>
        <v/>
      </c>
      <c r="L18" s="29" t="str">
        <f>IF($O18="","",INDEX(食材マスタ!$K$10:$K$309,$O18))</f>
        <v/>
      </c>
      <c r="M18" s="29" t="str">
        <f t="shared" si="0"/>
        <v/>
      </c>
      <c r="N18" s="24" t="str">
        <f>IF($O18="","",INDEX(食材マスタ!$T$10:$T$309,$O18))</f>
        <v/>
      </c>
      <c r="O18" t="str">
        <f>IFERROR(MATCH(10,食材マスタ!$Z$10:$Z$309,0),"")</f>
        <v/>
      </c>
    </row>
    <row r="19" spans="2:15">
      <c r="B19" s="23" t="str">
        <f>IF(O19="","",11)</f>
        <v/>
      </c>
      <c r="C19" s="23" t="str">
        <f>IF($O19="","",INDEX(食材マスタ!$C$10:$C$309,$O19))</f>
        <v/>
      </c>
      <c r="D19" s="27" t="str">
        <f>IF($O19="","",INDEX(食材マスタ!$D$10:$D$309,$O19))</f>
        <v/>
      </c>
      <c r="E19" s="27" t="str">
        <f>IF($O19="","",INDEX(食材マスタ!$E$10:$E$309,$O19))</f>
        <v/>
      </c>
      <c r="F19" s="27" t="str">
        <f>IF($O19="","",INDEX(食材マスタ!$J$10:$J$309,$O19))</f>
        <v/>
      </c>
      <c r="G19" s="23" t="str">
        <f>IF($O19="","",INDEX(食材マスタ!$G$10:$G$309,$O19))</f>
        <v/>
      </c>
      <c r="H19" s="28" t="str">
        <f>IF($O19="","",INDEX(食材マスタ!$P$10:$P$309,$O19))</f>
        <v/>
      </c>
      <c r="I19" s="28" t="str">
        <f>IF($O19="","",INDEX(食材マスタ!$R$10:$R$309,$O19))</f>
        <v/>
      </c>
      <c r="J19" s="28" t="str">
        <f>IF($O19="","",INDEX(食材マスタ!$U$10:$U$309,$O19))</f>
        <v/>
      </c>
      <c r="K19" s="23" t="str">
        <f>IF($O19="","",INDEX(食材マスタ!$H$10:$H$309,$O19))</f>
        <v/>
      </c>
      <c r="L19" s="29" t="str">
        <f>IF($O19="","",INDEX(食材マスタ!$K$10:$K$309,$O19))</f>
        <v/>
      </c>
      <c r="M19" s="29" t="str">
        <f t="shared" si="0"/>
        <v/>
      </c>
      <c r="N19" s="24" t="str">
        <f>IF($O19="","",INDEX(食材マスタ!$T$10:$T$309,$O19))</f>
        <v/>
      </c>
      <c r="O19" t="str">
        <f>IFERROR(MATCH(11,食材マスタ!$Z$10:$Z$309,0),"")</f>
        <v/>
      </c>
    </row>
    <row r="20" spans="2:15">
      <c r="B20" s="23" t="str">
        <f>IF(O20="","",12)</f>
        <v/>
      </c>
      <c r="C20" s="23" t="str">
        <f>IF($O20="","",INDEX(食材マスタ!$C$10:$C$309,$O20))</f>
        <v/>
      </c>
      <c r="D20" s="27" t="str">
        <f>IF($O20="","",INDEX(食材マスタ!$D$10:$D$309,$O20))</f>
        <v/>
      </c>
      <c r="E20" s="27" t="str">
        <f>IF($O20="","",INDEX(食材マスタ!$E$10:$E$309,$O20))</f>
        <v/>
      </c>
      <c r="F20" s="27" t="str">
        <f>IF($O20="","",INDEX(食材マスタ!$J$10:$J$309,$O20))</f>
        <v/>
      </c>
      <c r="G20" s="23" t="str">
        <f>IF($O20="","",INDEX(食材マスタ!$G$10:$G$309,$O20))</f>
        <v/>
      </c>
      <c r="H20" s="28" t="str">
        <f>IF($O20="","",INDEX(食材マスタ!$P$10:$P$309,$O20))</f>
        <v/>
      </c>
      <c r="I20" s="28" t="str">
        <f>IF($O20="","",INDEX(食材マスタ!$R$10:$R$309,$O20))</f>
        <v/>
      </c>
      <c r="J20" s="28" t="str">
        <f>IF($O20="","",INDEX(食材マスタ!$U$10:$U$309,$O20))</f>
        <v/>
      </c>
      <c r="K20" s="23" t="str">
        <f>IF($O20="","",INDEX(食材マスタ!$H$10:$H$309,$O20))</f>
        <v/>
      </c>
      <c r="L20" s="29" t="str">
        <f>IF($O20="","",INDEX(食材マスタ!$K$10:$K$309,$O20))</f>
        <v/>
      </c>
      <c r="M20" s="29" t="str">
        <f t="shared" si="0"/>
        <v/>
      </c>
      <c r="N20" s="24" t="str">
        <f>IF($O20="","",INDEX(食材マスタ!$T$10:$T$309,$O20))</f>
        <v/>
      </c>
      <c r="O20" t="str">
        <f>IFERROR(MATCH(12,食材マスタ!$Z$10:$Z$309,0),"")</f>
        <v/>
      </c>
    </row>
    <row r="21" spans="2:15">
      <c r="B21" s="23" t="str">
        <f>IF(O21="","",13)</f>
        <v/>
      </c>
      <c r="C21" s="23" t="str">
        <f>IF($O21="","",INDEX(食材マスタ!$C$10:$C$309,$O21))</f>
        <v/>
      </c>
      <c r="D21" s="27" t="str">
        <f>IF($O21="","",INDEX(食材マスタ!$D$10:$D$309,$O21))</f>
        <v/>
      </c>
      <c r="E21" s="27" t="str">
        <f>IF($O21="","",INDEX(食材マスタ!$E$10:$E$309,$O21))</f>
        <v/>
      </c>
      <c r="F21" s="27" t="str">
        <f>IF($O21="","",INDEX(食材マスタ!$J$10:$J$309,$O21))</f>
        <v/>
      </c>
      <c r="G21" s="23" t="str">
        <f>IF($O21="","",INDEX(食材マスタ!$G$10:$G$309,$O21))</f>
        <v/>
      </c>
      <c r="H21" s="28" t="str">
        <f>IF($O21="","",INDEX(食材マスタ!$P$10:$P$309,$O21))</f>
        <v/>
      </c>
      <c r="I21" s="28" t="str">
        <f>IF($O21="","",INDEX(食材マスタ!$R$10:$R$309,$O21))</f>
        <v/>
      </c>
      <c r="J21" s="28" t="str">
        <f>IF($O21="","",INDEX(食材マスタ!$U$10:$U$309,$O21))</f>
        <v/>
      </c>
      <c r="K21" s="23" t="str">
        <f>IF($O21="","",INDEX(食材マスタ!$H$10:$H$309,$O21))</f>
        <v/>
      </c>
      <c r="L21" s="29" t="str">
        <f>IF($O21="","",INDEX(食材マスタ!$K$10:$K$309,$O21))</f>
        <v/>
      </c>
      <c r="M21" s="29" t="str">
        <f t="shared" si="0"/>
        <v/>
      </c>
      <c r="N21" s="24" t="str">
        <f>IF($O21="","",INDEX(食材マスタ!$T$10:$T$309,$O21))</f>
        <v/>
      </c>
      <c r="O21" t="str">
        <f>IFERROR(MATCH(13,食材マスタ!$Z$10:$Z$309,0),"")</f>
        <v/>
      </c>
    </row>
    <row r="22" spans="2:15">
      <c r="B22" s="23" t="str">
        <f>IF(O22="","",14)</f>
        <v/>
      </c>
      <c r="C22" s="23" t="str">
        <f>IF($O22="","",INDEX(食材マスタ!$C$10:$C$309,$O22))</f>
        <v/>
      </c>
      <c r="D22" s="27" t="str">
        <f>IF($O22="","",INDEX(食材マスタ!$D$10:$D$309,$O22))</f>
        <v/>
      </c>
      <c r="E22" s="27" t="str">
        <f>IF($O22="","",INDEX(食材マスタ!$E$10:$E$309,$O22))</f>
        <v/>
      </c>
      <c r="F22" s="27" t="str">
        <f>IF($O22="","",INDEX(食材マスタ!$J$10:$J$309,$O22))</f>
        <v/>
      </c>
      <c r="G22" s="23" t="str">
        <f>IF($O22="","",INDEX(食材マスタ!$G$10:$G$309,$O22))</f>
        <v/>
      </c>
      <c r="H22" s="28" t="str">
        <f>IF($O22="","",INDEX(食材マスタ!$P$10:$P$309,$O22))</f>
        <v/>
      </c>
      <c r="I22" s="28" t="str">
        <f>IF($O22="","",INDEX(食材マスタ!$R$10:$R$309,$O22))</f>
        <v/>
      </c>
      <c r="J22" s="28" t="str">
        <f>IF($O22="","",INDEX(食材マスタ!$U$10:$U$309,$O22))</f>
        <v/>
      </c>
      <c r="K22" s="23" t="str">
        <f>IF($O22="","",INDEX(食材マスタ!$H$10:$H$309,$O22))</f>
        <v/>
      </c>
      <c r="L22" s="29" t="str">
        <f>IF($O22="","",INDEX(食材マスタ!$K$10:$K$309,$O22))</f>
        <v/>
      </c>
      <c r="M22" s="29" t="str">
        <f t="shared" si="0"/>
        <v/>
      </c>
      <c r="N22" s="24" t="str">
        <f>IF($O22="","",INDEX(食材マスタ!$T$10:$T$309,$O22))</f>
        <v/>
      </c>
      <c r="O22" t="str">
        <f>IFERROR(MATCH(14,食材マスタ!$Z$10:$Z$309,0),"")</f>
        <v/>
      </c>
    </row>
    <row r="23" spans="2:15">
      <c r="B23" s="23" t="str">
        <f>IF(O23="","",15)</f>
        <v/>
      </c>
      <c r="C23" s="23" t="str">
        <f>IF($O23="","",INDEX(食材マスタ!$C$10:$C$309,$O23))</f>
        <v/>
      </c>
      <c r="D23" s="27" t="str">
        <f>IF($O23="","",INDEX(食材マスタ!$D$10:$D$309,$O23))</f>
        <v/>
      </c>
      <c r="E23" s="27" t="str">
        <f>IF($O23="","",INDEX(食材マスタ!$E$10:$E$309,$O23))</f>
        <v/>
      </c>
      <c r="F23" s="27" t="str">
        <f>IF($O23="","",INDEX(食材マスタ!$J$10:$J$309,$O23))</f>
        <v/>
      </c>
      <c r="G23" s="23" t="str">
        <f>IF($O23="","",INDEX(食材マスタ!$G$10:$G$309,$O23))</f>
        <v/>
      </c>
      <c r="H23" s="28" t="str">
        <f>IF($O23="","",INDEX(食材マスタ!$P$10:$P$309,$O23))</f>
        <v/>
      </c>
      <c r="I23" s="28" t="str">
        <f>IF($O23="","",INDEX(食材マスタ!$R$10:$R$309,$O23))</f>
        <v/>
      </c>
      <c r="J23" s="28" t="str">
        <f>IF($O23="","",INDEX(食材マスタ!$U$10:$U$309,$O23))</f>
        <v/>
      </c>
      <c r="K23" s="23" t="str">
        <f>IF($O23="","",INDEX(食材マスタ!$H$10:$H$309,$O23))</f>
        <v/>
      </c>
      <c r="L23" s="29" t="str">
        <f>IF($O23="","",INDEX(食材マスタ!$K$10:$K$309,$O23))</f>
        <v/>
      </c>
      <c r="M23" s="29" t="str">
        <f t="shared" si="0"/>
        <v/>
      </c>
      <c r="N23" s="24" t="str">
        <f>IF($O23="","",INDEX(食材マスタ!$T$10:$T$309,$O23))</f>
        <v/>
      </c>
      <c r="O23" t="str">
        <f>IFERROR(MATCH(15,食材マスタ!$Z$10:$Z$309,0),"")</f>
        <v/>
      </c>
    </row>
    <row r="24" spans="2:15">
      <c r="B24" s="23" t="str">
        <f>IF(O24="","",16)</f>
        <v/>
      </c>
      <c r="C24" s="23" t="str">
        <f>IF($O24="","",INDEX(食材マスタ!$C$10:$C$309,$O24))</f>
        <v/>
      </c>
      <c r="D24" s="27" t="str">
        <f>IF($O24="","",INDEX(食材マスタ!$D$10:$D$309,$O24))</f>
        <v/>
      </c>
      <c r="E24" s="27" t="str">
        <f>IF($O24="","",INDEX(食材マスタ!$E$10:$E$309,$O24))</f>
        <v/>
      </c>
      <c r="F24" s="27" t="str">
        <f>IF($O24="","",INDEX(食材マスタ!$J$10:$J$309,$O24))</f>
        <v/>
      </c>
      <c r="G24" s="23" t="str">
        <f>IF($O24="","",INDEX(食材マスタ!$G$10:$G$309,$O24))</f>
        <v/>
      </c>
      <c r="H24" s="28" t="str">
        <f>IF($O24="","",INDEX(食材マスタ!$P$10:$P$309,$O24))</f>
        <v/>
      </c>
      <c r="I24" s="28" t="str">
        <f>IF($O24="","",INDEX(食材マスタ!$R$10:$R$309,$O24))</f>
        <v/>
      </c>
      <c r="J24" s="28" t="str">
        <f>IF($O24="","",INDEX(食材マスタ!$U$10:$U$309,$O24))</f>
        <v/>
      </c>
      <c r="K24" s="23" t="str">
        <f>IF($O24="","",INDEX(食材マスタ!$H$10:$H$309,$O24))</f>
        <v/>
      </c>
      <c r="L24" s="29" t="str">
        <f>IF($O24="","",INDEX(食材マスタ!$K$10:$K$309,$O24))</f>
        <v/>
      </c>
      <c r="M24" s="29" t="str">
        <f t="shared" si="0"/>
        <v/>
      </c>
      <c r="N24" s="24" t="str">
        <f>IF($O24="","",INDEX(食材マスタ!$T$10:$T$309,$O24))</f>
        <v/>
      </c>
      <c r="O24" t="str">
        <f>IFERROR(MATCH(16,食材マスタ!$Z$10:$Z$309,0),"")</f>
        <v/>
      </c>
    </row>
    <row r="25" spans="2:15">
      <c r="B25" s="23" t="str">
        <f>IF(O25="","",17)</f>
        <v/>
      </c>
      <c r="C25" s="23" t="str">
        <f>IF($O25="","",INDEX(食材マスタ!$C$10:$C$309,$O25))</f>
        <v/>
      </c>
      <c r="D25" s="27" t="str">
        <f>IF($O25="","",INDEX(食材マスタ!$D$10:$D$309,$O25))</f>
        <v/>
      </c>
      <c r="E25" s="27" t="str">
        <f>IF($O25="","",INDEX(食材マスタ!$E$10:$E$309,$O25))</f>
        <v/>
      </c>
      <c r="F25" s="27" t="str">
        <f>IF($O25="","",INDEX(食材マスタ!$J$10:$J$309,$O25))</f>
        <v/>
      </c>
      <c r="G25" s="23" t="str">
        <f>IF($O25="","",INDEX(食材マスタ!$G$10:$G$309,$O25))</f>
        <v/>
      </c>
      <c r="H25" s="28" t="str">
        <f>IF($O25="","",INDEX(食材マスタ!$P$10:$P$309,$O25))</f>
        <v/>
      </c>
      <c r="I25" s="28" t="str">
        <f>IF($O25="","",INDEX(食材マスタ!$R$10:$R$309,$O25))</f>
        <v/>
      </c>
      <c r="J25" s="28" t="str">
        <f>IF($O25="","",INDEX(食材マスタ!$U$10:$U$309,$O25))</f>
        <v/>
      </c>
      <c r="K25" s="23" t="str">
        <f>IF($O25="","",INDEX(食材マスタ!$H$10:$H$309,$O25))</f>
        <v/>
      </c>
      <c r="L25" s="29" t="str">
        <f>IF($O25="","",INDEX(食材マスタ!$K$10:$K$309,$O25))</f>
        <v/>
      </c>
      <c r="M25" s="29" t="str">
        <f t="shared" si="0"/>
        <v/>
      </c>
      <c r="N25" s="24" t="str">
        <f>IF($O25="","",INDEX(食材マスタ!$T$10:$T$309,$O25))</f>
        <v/>
      </c>
      <c r="O25" t="str">
        <f>IFERROR(MATCH(17,食材マスタ!$Z$10:$Z$309,0),"")</f>
        <v/>
      </c>
    </row>
    <row r="26" spans="2:15">
      <c r="B26" s="23" t="str">
        <f>IF(O26="","",18)</f>
        <v/>
      </c>
      <c r="C26" s="23" t="str">
        <f>IF($O26="","",INDEX(食材マスタ!$C$10:$C$309,$O26))</f>
        <v/>
      </c>
      <c r="D26" s="27" t="str">
        <f>IF($O26="","",INDEX(食材マスタ!$D$10:$D$309,$O26))</f>
        <v/>
      </c>
      <c r="E26" s="27" t="str">
        <f>IF($O26="","",INDEX(食材マスタ!$E$10:$E$309,$O26))</f>
        <v/>
      </c>
      <c r="F26" s="27" t="str">
        <f>IF($O26="","",INDEX(食材マスタ!$J$10:$J$309,$O26))</f>
        <v/>
      </c>
      <c r="G26" s="23" t="str">
        <f>IF($O26="","",INDEX(食材マスタ!$G$10:$G$309,$O26))</f>
        <v/>
      </c>
      <c r="H26" s="28" t="str">
        <f>IF($O26="","",INDEX(食材マスタ!$P$10:$P$309,$O26))</f>
        <v/>
      </c>
      <c r="I26" s="28" t="str">
        <f>IF($O26="","",INDEX(食材マスタ!$R$10:$R$309,$O26))</f>
        <v/>
      </c>
      <c r="J26" s="28" t="str">
        <f>IF($O26="","",INDEX(食材マスタ!$U$10:$U$309,$O26))</f>
        <v/>
      </c>
      <c r="K26" s="23" t="str">
        <f>IF($O26="","",INDEX(食材マスタ!$H$10:$H$309,$O26))</f>
        <v/>
      </c>
      <c r="L26" s="29" t="str">
        <f>IF($O26="","",INDEX(食材マスタ!$K$10:$K$309,$O26))</f>
        <v/>
      </c>
      <c r="M26" s="29" t="str">
        <f t="shared" si="0"/>
        <v/>
      </c>
      <c r="N26" s="24" t="str">
        <f>IF($O26="","",INDEX(食材マスタ!$T$10:$T$309,$O26))</f>
        <v/>
      </c>
      <c r="O26" t="str">
        <f>IFERROR(MATCH(18,食材マスタ!$Z$10:$Z$309,0),"")</f>
        <v/>
      </c>
    </row>
    <row r="27" spans="2:15">
      <c r="B27" s="23" t="str">
        <f>IF(O27="","",19)</f>
        <v/>
      </c>
      <c r="C27" s="23" t="str">
        <f>IF($O27="","",INDEX(食材マスタ!$C$10:$C$309,$O27))</f>
        <v/>
      </c>
      <c r="D27" s="27" t="str">
        <f>IF($O27="","",INDEX(食材マスタ!$D$10:$D$309,$O27))</f>
        <v/>
      </c>
      <c r="E27" s="27" t="str">
        <f>IF($O27="","",INDEX(食材マスタ!$E$10:$E$309,$O27))</f>
        <v/>
      </c>
      <c r="F27" s="27" t="str">
        <f>IF($O27="","",INDEX(食材マスタ!$J$10:$J$309,$O27))</f>
        <v/>
      </c>
      <c r="G27" s="23" t="str">
        <f>IF($O27="","",INDEX(食材マスタ!$G$10:$G$309,$O27))</f>
        <v/>
      </c>
      <c r="H27" s="28" t="str">
        <f>IF($O27="","",INDEX(食材マスタ!$P$10:$P$309,$O27))</f>
        <v/>
      </c>
      <c r="I27" s="28" t="str">
        <f>IF($O27="","",INDEX(食材マスタ!$R$10:$R$309,$O27))</f>
        <v/>
      </c>
      <c r="J27" s="28" t="str">
        <f>IF($O27="","",INDEX(食材マスタ!$U$10:$U$309,$O27))</f>
        <v/>
      </c>
      <c r="K27" s="23" t="str">
        <f>IF($O27="","",INDEX(食材マスタ!$H$10:$H$309,$O27))</f>
        <v/>
      </c>
      <c r="L27" s="29" t="str">
        <f>IF($O27="","",INDEX(食材マスタ!$K$10:$K$309,$O27))</f>
        <v/>
      </c>
      <c r="M27" s="29" t="str">
        <f t="shared" si="0"/>
        <v/>
      </c>
      <c r="N27" s="24" t="str">
        <f>IF($O27="","",INDEX(食材マスタ!$T$10:$T$309,$O27))</f>
        <v/>
      </c>
      <c r="O27" t="str">
        <f>IFERROR(MATCH(19,食材マスタ!$Z$10:$Z$309,0),"")</f>
        <v/>
      </c>
    </row>
    <row r="28" spans="2:15">
      <c r="B28" s="23" t="str">
        <f>IF(O28="","",20)</f>
        <v/>
      </c>
      <c r="C28" s="23" t="str">
        <f>IF($O28="","",INDEX(食材マスタ!$C$10:$C$309,$O28))</f>
        <v/>
      </c>
      <c r="D28" s="27" t="str">
        <f>IF($O28="","",INDEX(食材マスタ!$D$10:$D$309,$O28))</f>
        <v/>
      </c>
      <c r="E28" s="27" t="str">
        <f>IF($O28="","",INDEX(食材マスタ!$E$10:$E$309,$O28))</f>
        <v/>
      </c>
      <c r="F28" s="27" t="str">
        <f>IF($O28="","",INDEX(食材マスタ!$J$10:$J$309,$O28))</f>
        <v/>
      </c>
      <c r="G28" s="23" t="str">
        <f>IF($O28="","",INDEX(食材マスタ!$G$10:$G$309,$O28))</f>
        <v/>
      </c>
      <c r="H28" s="28" t="str">
        <f>IF($O28="","",INDEX(食材マスタ!$P$10:$P$309,$O28))</f>
        <v/>
      </c>
      <c r="I28" s="28" t="str">
        <f>IF($O28="","",INDEX(食材マスタ!$R$10:$R$309,$O28))</f>
        <v/>
      </c>
      <c r="J28" s="28" t="str">
        <f>IF($O28="","",INDEX(食材マスタ!$U$10:$U$309,$O28))</f>
        <v/>
      </c>
      <c r="K28" s="23" t="str">
        <f>IF($O28="","",INDEX(食材マスタ!$H$10:$H$309,$O28))</f>
        <v/>
      </c>
      <c r="L28" s="29" t="str">
        <f>IF($O28="","",INDEX(食材マスタ!$K$10:$K$309,$O28))</f>
        <v/>
      </c>
      <c r="M28" s="29" t="str">
        <f t="shared" si="0"/>
        <v/>
      </c>
      <c r="N28" s="24" t="str">
        <f>IF($O28="","",INDEX(食材マスタ!$T$10:$T$309,$O28))</f>
        <v/>
      </c>
      <c r="O28" t="str">
        <f>IFERROR(MATCH(20,食材マスタ!$Z$10:$Z$309,0),"")</f>
        <v/>
      </c>
    </row>
    <row r="29" spans="2:15">
      <c r="B29" s="23" t="str">
        <f>IF(O29="","",21)</f>
        <v/>
      </c>
      <c r="C29" s="23" t="str">
        <f>IF($O29="","",INDEX(食材マスタ!$C$10:$C$309,$O29))</f>
        <v/>
      </c>
      <c r="D29" s="27" t="str">
        <f>IF($O29="","",INDEX(食材マスタ!$D$10:$D$309,$O29))</f>
        <v/>
      </c>
      <c r="E29" s="27" t="str">
        <f>IF($O29="","",INDEX(食材マスタ!$E$10:$E$309,$O29))</f>
        <v/>
      </c>
      <c r="F29" s="27" t="str">
        <f>IF($O29="","",INDEX(食材マスタ!$J$10:$J$309,$O29))</f>
        <v/>
      </c>
      <c r="G29" s="23" t="str">
        <f>IF($O29="","",INDEX(食材マスタ!$G$10:$G$309,$O29))</f>
        <v/>
      </c>
      <c r="H29" s="28" t="str">
        <f>IF($O29="","",INDEX(食材マスタ!$P$10:$P$309,$O29))</f>
        <v/>
      </c>
      <c r="I29" s="28" t="str">
        <f>IF($O29="","",INDEX(食材マスタ!$R$10:$R$309,$O29))</f>
        <v/>
      </c>
      <c r="J29" s="28" t="str">
        <f>IF($O29="","",INDEX(食材マスタ!$U$10:$U$309,$O29))</f>
        <v/>
      </c>
      <c r="K29" s="23" t="str">
        <f>IF($O29="","",INDEX(食材マスタ!$H$10:$H$309,$O29))</f>
        <v/>
      </c>
      <c r="L29" s="29" t="str">
        <f>IF($O29="","",INDEX(食材マスタ!$K$10:$K$309,$O29))</f>
        <v/>
      </c>
      <c r="M29" s="29" t="str">
        <f t="shared" si="0"/>
        <v/>
      </c>
      <c r="N29" s="24" t="str">
        <f>IF($O29="","",INDEX(食材マスタ!$T$10:$T$309,$O29))</f>
        <v/>
      </c>
      <c r="O29" t="str">
        <f>IFERROR(MATCH(21,食材マスタ!$Z$10:$Z$309,0),"")</f>
        <v/>
      </c>
    </row>
    <row r="30" spans="2:15">
      <c r="B30" s="23" t="str">
        <f>IF(O30="","",22)</f>
        <v/>
      </c>
      <c r="C30" s="23" t="str">
        <f>IF($O30="","",INDEX(食材マスタ!$C$10:$C$309,$O30))</f>
        <v/>
      </c>
      <c r="D30" s="27" t="str">
        <f>IF($O30="","",INDEX(食材マスタ!$D$10:$D$309,$O30))</f>
        <v/>
      </c>
      <c r="E30" s="27" t="str">
        <f>IF($O30="","",INDEX(食材マスタ!$E$10:$E$309,$O30))</f>
        <v/>
      </c>
      <c r="F30" s="27" t="str">
        <f>IF($O30="","",INDEX(食材マスタ!$J$10:$J$309,$O30))</f>
        <v/>
      </c>
      <c r="G30" s="23" t="str">
        <f>IF($O30="","",INDEX(食材マスタ!$G$10:$G$309,$O30))</f>
        <v/>
      </c>
      <c r="H30" s="28" t="str">
        <f>IF($O30="","",INDEX(食材マスタ!$P$10:$P$309,$O30))</f>
        <v/>
      </c>
      <c r="I30" s="28" t="str">
        <f>IF($O30="","",INDEX(食材マスタ!$R$10:$R$309,$O30))</f>
        <v/>
      </c>
      <c r="J30" s="28" t="str">
        <f>IF($O30="","",INDEX(食材マスタ!$U$10:$U$309,$O30))</f>
        <v/>
      </c>
      <c r="K30" s="23" t="str">
        <f>IF($O30="","",INDEX(食材マスタ!$H$10:$H$309,$O30))</f>
        <v/>
      </c>
      <c r="L30" s="29" t="str">
        <f>IF($O30="","",INDEX(食材マスタ!$K$10:$K$309,$O30))</f>
        <v/>
      </c>
      <c r="M30" s="29" t="str">
        <f t="shared" si="0"/>
        <v/>
      </c>
      <c r="N30" s="24" t="str">
        <f>IF($O30="","",INDEX(食材マスタ!$T$10:$T$309,$O30))</f>
        <v/>
      </c>
      <c r="O30" t="str">
        <f>IFERROR(MATCH(22,食材マスタ!$Z$10:$Z$309,0),"")</f>
        <v/>
      </c>
    </row>
    <row r="31" spans="2:15">
      <c r="B31" s="23" t="str">
        <f>IF(O31="","",23)</f>
        <v/>
      </c>
      <c r="C31" s="23" t="str">
        <f>IF($O31="","",INDEX(食材マスタ!$C$10:$C$309,$O31))</f>
        <v/>
      </c>
      <c r="D31" s="27" t="str">
        <f>IF($O31="","",INDEX(食材マスタ!$D$10:$D$309,$O31))</f>
        <v/>
      </c>
      <c r="E31" s="27" t="str">
        <f>IF($O31="","",INDEX(食材マスタ!$E$10:$E$309,$O31))</f>
        <v/>
      </c>
      <c r="F31" s="27" t="str">
        <f>IF($O31="","",INDEX(食材マスタ!$J$10:$J$309,$O31))</f>
        <v/>
      </c>
      <c r="G31" s="23" t="str">
        <f>IF($O31="","",INDEX(食材マスタ!$G$10:$G$309,$O31))</f>
        <v/>
      </c>
      <c r="H31" s="28" t="str">
        <f>IF($O31="","",INDEX(食材マスタ!$P$10:$P$309,$O31))</f>
        <v/>
      </c>
      <c r="I31" s="28" t="str">
        <f>IF($O31="","",INDEX(食材マスタ!$R$10:$R$309,$O31))</f>
        <v/>
      </c>
      <c r="J31" s="28" t="str">
        <f>IF($O31="","",INDEX(食材マスタ!$U$10:$U$309,$O31))</f>
        <v/>
      </c>
      <c r="K31" s="23" t="str">
        <f>IF($O31="","",INDEX(食材マスタ!$H$10:$H$309,$O31))</f>
        <v/>
      </c>
      <c r="L31" s="29" t="str">
        <f>IF($O31="","",INDEX(食材マスタ!$K$10:$K$309,$O31))</f>
        <v/>
      </c>
      <c r="M31" s="29" t="str">
        <f t="shared" si="0"/>
        <v/>
      </c>
      <c r="N31" s="24" t="str">
        <f>IF($O31="","",INDEX(食材マスタ!$T$10:$T$309,$O31))</f>
        <v/>
      </c>
      <c r="O31" t="str">
        <f>IFERROR(MATCH(23,食材マスタ!$Z$10:$Z$309,0),"")</f>
        <v/>
      </c>
    </row>
    <row r="32" spans="2:15">
      <c r="B32" s="23" t="str">
        <f>IF(O32="","",24)</f>
        <v/>
      </c>
      <c r="C32" s="23" t="str">
        <f>IF($O32="","",INDEX(食材マスタ!$C$10:$C$309,$O32))</f>
        <v/>
      </c>
      <c r="D32" s="27" t="str">
        <f>IF($O32="","",INDEX(食材マスタ!$D$10:$D$309,$O32))</f>
        <v/>
      </c>
      <c r="E32" s="27" t="str">
        <f>IF($O32="","",INDEX(食材マスタ!$E$10:$E$309,$O32))</f>
        <v/>
      </c>
      <c r="F32" s="27" t="str">
        <f>IF($O32="","",INDEX(食材マスタ!$J$10:$J$309,$O32))</f>
        <v/>
      </c>
      <c r="G32" s="23" t="str">
        <f>IF($O32="","",INDEX(食材マスタ!$G$10:$G$309,$O32))</f>
        <v/>
      </c>
      <c r="H32" s="28" t="str">
        <f>IF($O32="","",INDEX(食材マスタ!$P$10:$P$309,$O32))</f>
        <v/>
      </c>
      <c r="I32" s="28" t="str">
        <f>IF($O32="","",INDEX(食材マスタ!$R$10:$R$309,$O32))</f>
        <v/>
      </c>
      <c r="J32" s="28" t="str">
        <f>IF($O32="","",INDEX(食材マスタ!$U$10:$U$309,$O32))</f>
        <v/>
      </c>
      <c r="K32" s="23" t="str">
        <f>IF($O32="","",INDEX(食材マスタ!$H$10:$H$309,$O32))</f>
        <v/>
      </c>
      <c r="L32" s="29" t="str">
        <f>IF($O32="","",INDEX(食材マスタ!$K$10:$K$309,$O32))</f>
        <v/>
      </c>
      <c r="M32" s="29" t="str">
        <f t="shared" si="0"/>
        <v/>
      </c>
      <c r="N32" s="24" t="str">
        <f>IF($O32="","",INDEX(食材マスタ!$T$10:$T$309,$O32))</f>
        <v/>
      </c>
      <c r="O32" t="str">
        <f>IFERROR(MATCH(24,食材マスタ!$Z$10:$Z$309,0),"")</f>
        <v/>
      </c>
    </row>
    <row r="33" spans="2:15">
      <c r="B33" s="23" t="str">
        <f>IF(O33="","",25)</f>
        <v/>
      </c>
      <c r="C33" s="23" t="str">
        <f>IF($O33="","",INDEX(食材マスタ!$C$10:$C$309,$O33))</f>
        <v/>
      </c>
      <c r="D33" s="27" t="str">
        <f>IF($O33="","",INDEX(食材マスタ!$D$10:$D$309,$O33))</f>
        <v/>
      </c>
      <c r="E33" s="27" t="str">
        <f>IF($O33="","",INDEX(食材マスタ!$E$10:$E$309,$O33))</f>
        <v/>
      </c>
      <c r="F33" s="27" t="str">
        <f>IF($O33="","",INDEX(食材マスタ!$J$10:$J$309,$O33))</f>
        <v/>
      </c>
      <c r="G33" s="23" t="str">
        <f>IF($O33="","",INDEX(食材マスタ!$G$10:$G$309,$O33))</f>
        <v/>
      </c>
      <c r="H33" s="28" t="str">
        <f>IF($O33="","",INDEX(食材マスタ!$P$10:$P$309,$O33))</f>
        <v/>
      </c>
      <c r="I33" s="28" t="str">
        <f>IF($O33="","",INDEX(食材マスタ!$R$10:$R$309,$O33))</f>
        <v/>
      </c>
      <c r="J33" s="28" t="str">
        <f>IF($O33="","",INDEX(食材マスタ!$U$10:$U$309,$O33))</f>
        <v/>
      </c>
      <c r="K33" s="23" t="str">
        <f>IF($O33="","",INDEX(食材マスタ!$H$10:$H$309,$O33))</f>
        <v/>
      </c>
      <c r="L33" s="29" t="str">
        <f>IF($O33="","",INDEX(食材マスタ!$K$10:$K$309,$O33))</f>
        <v/>
      </c>
      <c r="M33" s="29" t="str">
        <f t="shared" si="0"/>
        <v/>
      </c>
      <c r="N33" s="24" t="str">
        <f>IF($O33="","",INDEX(食材マスタ!$T$10:$T$309,$O33))</f>
        <v/>
      </c>
      <c r="O33" t="str">
        <f>IFERROR(MATCH(25,食材マスタ!$Z$10:$Z$309,0),"")</f>
        <v/>
      </c>
    </row>
    <row r="34" spans="2:15">
      <c r="B34" s="23" t="str">
        <f>IF(O34="","",26)</f>
        <v/>
      </c>
      <c r="C34" s="23" t="str">
        <f>IF($O34="","",INDEX(食材マスタ!$C$10:$C$309,$O34))</f>
        <v/>
      </c>
      <c r="D34" s="27" t="str">
        <f>IF($O34="","",INDEX(食材マスタ!$D$10:$D$309,$O34))</f>
        <v/>
      </c>
      <c r="E34" s="27" t="str">
        <f>IF($O34="","",INDEX(食材マスタ!$E$10:$E$309,$O34))</f>
        <v/>
      </c>
      <c r="F34" s="27" t="str">
        <f>IF($O34="","",INDEX(食材マスタ!$J$10:$J$309,$O34))</f>
        <v/>
      </c>
      <c r="G34" s="23" t="str">
        <f>IF($O34="","",INDEX(食材マスタ!$G$10:$G$309,$O34))</f>
        <v/>
      </c>
      <c r="H34" s="28" t="str">
        <f>IF($O34="","",INDEX(食材マスタ!$P$10:$P$309,$O34))</f>
        <v/>
      </c>
      <c r="I34" s="28" t="str">
        <f>IF($O34="","",INDEX(食材マスタ!$R$10:$R$309,$O34))</f>
        <v/>
      </c>
      <c r="J34" s="28" t="str">
        <f>IF($O34="","",INDEX(食材マスタ!$U$10:$U$309,$O34))</f>
        <v/>
      </c>
      <c r="K34" s="23" t="str">
        <f>IF($O34="","",INDEX(食材マスタ!$H$10:$H$309,$O34))</f>
        <v/>
      </c>
      <c r="L34" s="29" t="str">
        <f>IF($O34="","",INDEX(食材マスタ!$K$10:$K$309,$O34))</f>
        <v/>
      </c>
      <c r="M34" s="29" t="str">
        <f t="shared" si="0"/>
        <v/>
      </c>
      <c r="N34" s="24" t="str">
        <f>IF($O34="","",INDEX(食材マスタ!$T$10:$T$309,$O34))</f>
        <v/>
      </c>
      <c r="O34" t="str">
        <f>IFERROR(MATCH(26,食材マスタ!$Z$10:$Z$309,0),"")</f>
        <v/>
      </c>
    </row>
    <row r="35" spans="2:15">
      <c r="B35" s="23" t="str">
        <f>IF(O35="","",27)</f>
        <v/>
      </c>
      <c r="C35" s="23" t="str">
        <f>IF($O35="","",INDEX(食材マスタ!$C$10:$C$309,$O35))</f>
        <v/>
      </c>
      <c r="D35" s="27" t="str">
        <f>IF($O35="","",INDEX(食材マスタ!$D$10:$D$309,$O35))</f>
        <v/>
      </c>
      <c r="E35" s="27" t="str">
        <f>IF($O35="","",INDEX(食材マスタ!$E$10:$E$309,$O35))</f>
        <v/>
      </c>
      <c r="F35" s="27" t="str">
        <f>IF($O35="","",INDEX(食材マスタ!$J$10:$J$309,$O35))</f>
        <v/>
      </c>
      <c r="G35" s="23" t="str">
        <f>IF($O35="","",INDEX(食材マスタ!$G$10:$G$309,$O35))</f>
        <v/>
      </c>
      <c r="H35" s="28" t="str">
        <f>IF($O35="","",INDEX(食材マスタ!$P$10:$P$309,$O35))</f>
        <v/>
      </c>
      <c r="I35" s="28" t="str">
        <f>IF($O35="","",INDEX(食材マスタ!$R$10:$R$309,$O35))</f>
        <v/>
      </c>
      <c r="J35" s="28" t="str">
        <f>IF($O35="","",INDEX(食材マスタ!$U$10:$U$309,$O35))</f>
        <v/>
      </c>
      <c r="K35" s="23" t="str">
        <f>IF($O35="","",INDEX(食材マスタ!$H$10:$H$309,$O35))</f>
        <v/>
      </c>
      <c r="L35" s="29" t="str">
        <f>IF($O35="","",INDEX(食材マスタ!$K$10:$K$309,$O35))</f>
        <v/>
      </c>
      <c r="M35" s="29" t="str">
        <f t="shared" si="0"/>
        <v/>
      </c>
      <c r="N35" s="24" t="str">
        <f>IF($O35="","",INDEX(食材マスタ!$T$10:$T$309,$O35))</f>
        <v/>
      </c>
      <c r="O35" t="str">
        <f>IFERROR(MATCH(27,食材マスタ!$Z$10:$Z$309,0),"")</f>
        <v/>
      </c>
    </row>
    <row r="36" spans="2:15">
      <c r="B36" s="23" t="str">
        <f>IF(O36="","",28)</f>
        <v/>
      </c>
      <c r="C36" s="23" t="str">
        <f>IF($O36="","",INDEX(食材マスタ!$C$10:$C$309,$O36))</f>
        <v/>
      </c>
      <c r="D36" s="27" t="str">
        <f>IF($O36="","",INDEX(食材マスタ!$D$10:$D$309,$O36))</f>
        <v/>
      </c>
      <c r="E36" s="27" t="str">
        <f>IF($O36="","",INDEX(食材マスタ!$E$10:$E$309,$O36))</f>
        <v/>
      </c>
      <c r="F36" s="27" t="str">
        <f>IF($O36="","",INDEX(食材マスタ!$J$10:$J$309,$O36))</f>
        <v/>
      </c>
      <c r="G36" s="23" t="str">
        <f>IF($O36="","",INDEX(食材マスタ!$G$10:$G$309,$O36))</f>
        <v/>
      </c>
      <c r="H36" s="28" t="str">
        <f>IF($O36="","",INDEX(食材マスタ!$P$10:$P$309,$O36))</f>
        <v/>
      </c>
      <c r="I36" s="28" t="str">
        <f>IF($O36="","",INDEX(食材マスタ!$R$10:$R$309,$O36))</f>
        <v/>
      </c>
      <c r="J36" s="28" t="str">
        <f>IF($O36="","",INDEX(食材マスタ!$U$10:$U$309,$O36))</f>
        <v/>
      </c>
      <c r="K36" s="23" t="str">
        <f>IF($O36="","",INDEX(食材マスタ!$H$10:$H$309,$O36))</f>
        <v/>
      </c>
      <c r="L36" s="29" t="str">
        <f>IF($O36="","",INDEX(食材マスタ!$K$10:$K$309,$O36))</f>
        <v/>
      </c>
      <c r="M36" s="29" t="str">
        <f t="shared" si="0"/>
        <v/>
      </c>
      <c r="N36" s="24" t="str">
        <f>IF($O36="","",INDEX(食材マスタ!$T$10:$T$309,$O36))</f>
        <v/>
      </c>
      <c r="O36" t="str">
        <f>IFERROR(MATCH(28,食材マスタ!$Z$10:$Z$309,0),"")</f>
        <v/>
      </c>
    </row>
    <row r="37" spans="2:15">
      <c r="B37" s="23" t="str">
        <f>IF(O37="","",29)</f>
        <v/>
      </c>
      <c r="C37" s="23" t="str">
        <f>IF($O37="","",INDEX(食材マスタ!$C$10:$C$309,$O37))</f>
        <v/>
      </c>
      <c r="D37" s="27" t="str">
        <f>IF($O37="","",INDEX(食材マスタ!$D$10:$D$309,$O37))</f>
        <v/>
      </c>
      <c r="E37" s="27" t="str">
        <f>IF($O37="","",INDEX(食材マスタ!$E$10:$E$309,$O37))</f>
        <v/>
      </c>
      <c r="F37" s="27" t="str">
        <f>IF($O37="","",INDEX(食材マスタ!$J$10:$J$309,$O37))</f>
        <v/>
      </c>
      <c r="G37" s="23" t="str">
        <f>IF($O37="","",INDEX(食材マスタ!$G$10:$G$309,$O37))</f>
        <v/>
      </c>
      <c r="H37" s="28" t="str">
        <f>IF($O37="","",INDEX(食材マスタ!$P$10:$P$309,$O37))</f>
        <v/>
      </c>
      <c r="I37" s="28" t="str">
        <f>IF($O37="","",INDEX(食材マスタ!$R$10:$R$309,$O37))</f>
        <v/>
      </c>
      <c r="J37" s="28" t="str">
        <f>IF($O37="","",INDEX(食材マスタ!$U$10:$U$309,$O37))</f>
        <v/>
      </c>
      <c r="K37" s="23" t="str">
        <f>IF($O37="","",INDEX(食材マスタ!$H$10:$H$309,$O37))</f>
        <v/>
      </c>
      <c r="L37" s="29" t="str">
        <f>IF($O37="","",INDEX(食材マスタ!$K$10:$K$309,$O37))</f>
        <v/>
      </c>
      <c r="M37" s="29" t="str">
        <f t="shared" si="0"/>
        <v/>
      </c>
      <c r="N37" s="24" t="str">
        <f>IF($O37="","",INDEX(食材マスタ!$T$10:$T$309,$O37))</f>
        <v/>
      </c>
      <c r="O37" t="str">
        <f>IFERROR(MATCH(29,食材マスタ!$Z$10:$Z$309,0),"")</f>
        <v/>
      </c>
    </row>
    <row r="38" spans="2:15">
      <c r="B38" s="23" t="str">
        <f>IF(O38="","",30)</f>
        <v/>
      </c>
      <c r="C38" s="23" t="str">
        <f>IF($O38="","",INDEX(食材マスタ!$C$10:$C$309,$O38))</f>
        <v/>
      </c>
      <c r="D38" s="27" t="str">
        <f>IF($O38="","",INDEX(食材マスタ!$D$10:$D$309,$O38))</f>
        <v/>
      </c>
      <c r="E38" s="27" t="str">
        <f>IF($O38="","",INDEX(食材マスタ!$E$10:$E$309,$O38))</f>
        <v/>
      </c>
      <c r="F38" s="27" t="str">
        <f>IF($O38="","",INDEX(食材マスタ!$J$10:$J$309,$O38))</f>
        <v/>
      </c>
      <c r="G38" s="23" t="str">
        <f>IF($O38="","",INDEX(食材マスタ!$G$10:$G$309,$O38))</f>
        <v/>
      </c>
      <c r="H38" s="28" t="str">
        <f>IF($O38="","",INDEX(食材マスタ!$P$10:$P$309,$O38))</f>
        <v/>
      </c>
      <c r="I38" s="28" t="str">
        <f>IF($O38="","",INDEX(食材マスタ!$R$10:$R$309,$O38))</f>
        <v/>
      </c>
      <c r="J38" s="28" t="str">
        <f>IF($O38="","",INDEX(食材マスタ!$U$10:$U$309,$O38))</f>
        <v/>
      </c>
      <c r="K38" s="23" t="str">
        <f>IF($O38="","",INDEX(食材マスタ!$H$10:$H$309,$O38))</f>
        <v/>
      </c>
      <c r="L38" s="29" t="str">
        <f>IF($O38="","",INDEX(食材マスタ!$K$10:$K$309,$O38))</f>
        <v/>
      </c>
      <c r="M38" s="29" t="str">
        <f t="shared" si="0"/>
        <v/>
      </c>
      <c r="N38" s="24" t="str">
        <f>IF($O38="","",INDEX(食材マスタ!$T$10:$T$309,$O38))</f>
        <v/>
      </c>
      <c r="O38" t="str">
        <f>IFERROR(MATCH(30,食材マスタ!$Z$10:$Z$309,0),"")</f>
        <v/>
      </c>
    </row>
    <row r="39" spans="2:15">
      <c r="B39" s="23" t="str">
        <f>IF(O39="","",31)</f>
        <v/>
      </c>
      <c r="C39" s="23" t="str">
        <f>IF($O39="","",INDEX(食材マスタ!$C$10:$C$309,$O39))</f>
        <v/>
      </c>
      <c r="D39" s="27" t="str">
        <f>IF($O39="","",INDEX(食材マスタ!$D$10:$D$309,$O39))</f>
        <v/>
      </c>
      <c r="E39" s="27" t="str">
        <f>IF($O39="","",INDEX(食材マスタ!$E$10:$E$309,$O39))</f>
        <v/>
      </c>
      <c r="F39" s="27" t="str">
        <f>IF($O39="","",INDEX(食材マスタ!$J$10:$J$309,$O39))</f>
        <v/>
      </c>
      <c r="G39" s="23" t="str">
        <f>IF($O39="","",INDEX(食材マスタ!$G$10:$G$309,$O39))</f>
        <v/>
      </c>
      <c r="H39" s="28" t="str">
        <f>IF($O39="","",INDEX(食材マスタ!$P$10:$P$309,$O39))</f>
        <v/>
      </c>
      <c r="I39" s="28" t="str">
        <f>IF($O39="","",INDEX(食材マスタ!$R$10:$R$309,$O39))</f>
        <v/>
      </c>
      <c r="J39" s="28" t="str">
        <f>IF($O39="","",INDEX(食材マスタ!$U$10:$U$309,$O39))</f>
        <v/>
      </c>
      <c r="K39" s="23" t="str">
        <f>IF($O39="","",INDEX(食材マスタ!$H$10:$H$309,$O39))</f>
        <v/>
      </c>
      <c r="L39" s="29" t="str">
        <f>IF($O39="","",INDEX(食材マスタ!$K$10:$K$309,$O39))</f>
        <v/>
      </c>
      <c r="M39" s="29" t="str">
        <f t="shared" si="0"/>
        <v/>
      </c>
      <c r="N39" s="24" t="str">
        <f>IF($O39="","",INDEX(食材マスタ!$T$10:$T$309,$O39))</f>
        <v/>
      </c>
      <c r="O39" t="str">
        <f>IFERROR(MATCH(31,食材マスタ!$Z$10:$Z$309,0),"")</f>
        <v/>
      </c>
    </row>
    <row r="40" spans="2:15">
      <c r="B40" s="23" t="str">
        <f>IF(O40="","",32)</f>
        <v/>
      </c>
      <c r="C40" s="23" t="str">
        <f>IF($O40="","",INDEX(食材マスタ!$C$10:$C$309,$O40))</f>
        <v/>
      </c>
      <c r="D40" s="27" t="str">
        <f>IF($O40="","",INDEX(食材マスタ!$D$10:$D$309,$O40))</f>
        <v/>
      </c>
      <c r="E40" s="27" t="str">
        <f>IF($O40="","",INDEX(食材マスタ!$E$10:$E$309,$O40))</f>
        <v/>
      </c>
      <c r="F40" s="27" t="str">
        <f>IF($O40="","",INDEX(食材マスタ!$J$10:$J$309,$O40))</f>
        <v/>
      </c>
      <c r="G40" s="23" t="str">
        <f>IF($O40="","",INDEX(食材マスタ!$G$10:$G$309,$O40))</f>
        <v/>
      </c>
      <c r="H40" s="28" t="str">
        <f>IF($O40="","",INDEX(食材マスタ!$P$10:$P$309,$O40))</f>
        <v/>
      </c>
      <c r="I40" s="28" t="str">
        <f>IF($O40="","",INDEX(食材マスタ!$R$10:$R$309,$O40))</f>
        <v/>
      </c>
      <c r="J40" s="28" t="str">
        <f>IF($O40="","",INDEX(食材マスタ!$U$10:$U$309,$O40))</f>
        <v/>
      </c>
      <c r="K40" s="23" t="str">
        <f>IF($O40="","",INDEX(食材マスタ!$H$10:$H$309,$O40))</f>
        <v/>
      </c>
      <c r="L40" s="29" t="str">
        <f>IF($O40="","",INDEX(食材マスタ!$K$10:$K$309,$O40))</f>
        <v/>
      </c>
      <c r="M40" s="29" t="str">
        <f t="shared" si="0"/>
        <v/>
      </c>
      <c r="N40" s="24" t="str">
        <f>IF($O40="","",INDEX(食材マスタ!$T$10:$T$309,$O40))</f>
        <v/>
      </c>
      <c r="O40" t="str">
        <f>IFERROR(MATCH(32,食材マスタ!$Z$10:$Z$309,0),"")</f>
        <v/>
      </c>
    </row>
    <row r="41" spans="2:15">
      <c r="B41" s="23" t="str">
        <f>IF(O41="","",33)</f>
        <v/>
      </c>
      <c r="C41" s="23" t="str">
        <f>IF($O41="","",INDEX(食材マスタ!$C$10:$C$309,$O41))</f>
        <v/>
      </c>
      <c r="D41" s="27" t="str">
        <f>IF($O41="","",INDEX(食材マスタ!$D$10:$D$309,$O41))</f>
        <v/>
      </c>
      <c r="E41" s="27" t="str">
        <f>IF($O41="","",INDEX(食材マスタ!$E$10:$E$309,$O41))</f>
        <v/>
      </c>
      <c r="F41" s="27" t="str">
        <f>IF($O41="","",INDEX(食材マスタ!$J$10:$J$309,$O41))</f>
        <v/>
      </c>
      <c r="G41" s="23" t="str">
        <f>IF($O41="","",INDEX(食材マスタ!$G$10:$G$309,$O41))</f>
        <v/>
      </c>
      <c r="H41" s="28" t="str">
        <f>IF($O41="","",INDEX(食材マスタ!$P$10:$P$309,$O41))</f>
        <v/>
      </c>
      <c r="I41" s="28" t="str">
        <f>IF($O41="","",INDEX(食材マスタ!$R$10:$R$309,$O41))</f>
        <v/>
      </c>
      <c r="J41" s="28" t="str">
        <f>IF($O41="","",INDEX(食材マスタ!$U$10:$U$309,$O41))</f>
        <v/>
      </c>
      <c r="K41" s="23" t="str">
        <f>IF($O41="","",INDEX(食材マスタ!$H$10:$H$309,$O41))</f>
        <v/>
      </c>
      <c r="L41" s="29" t="str">
        <f>IF($O41="","",INDEX(食材マスタ!$K$10:$K$309,$O41))</f>
        <v/>
      </c>
      <c r="M41" s="29" t="str">
        <f t="shared" ref="M41:M72" si="1">IF(OR($O41="",L41="",J41=""),"",ROUND(J41*L41,0))</f>
        <v/>
      </c>
      <c r="N41" s="24" t="str">
        <f>IF($O41="","",INDEX(食材マスタ!$T$10:$T$309,$O41))</f>
        <v/>
      </c>
      <c r="O41" t="str">
        <f>IFERROR(MATCH(33,食材マスタ!$Z$10:$Z$309,0),"")</f>
        <v/>
      </c>
    </row>
    <row r="42" spans="2:15">
      <c r="B42" s="23" t="str">
        <f>IF(O42="","",34)</f>
        <v/>
      </c>
      <c r="C42" s="23" t="str">
        <f>IF($O42="","",INDEX(食材マスタ!$C$10:$C$309,$O42))</f>
        <v/>
      </c>
      <c r="D42" s="27" t="str">
        <f>IF($O42="","",INDEX(食材マスタ!$D$10:$D$309,$O42))</f>
        <v/>
      </c>
      <c r="E42" s="27" t="str">
        <f>IF($O42="","",INDEX(食材マスタ!$E$10:$E$309,$O42))</f>
        <v/>
      </c>
      <c r="F42" s="27" t="str">
        <f>IF($O42="","",INDEX(食材マスタ!$J$10:$J$309,$O42))</f>
        <v/>
      </c>
      <c r="G42" s="23" t="str">
        <f>IF($O42="","",INDEX(食材マスタ!$G$10:$G$309,$O42))</f>
        <v/>
      </c>
      <c r="H42" s="28" t="str">
        <f>IF($O42="","",INDEX(食材マスタ!$P$10:$P$309,$O42))</f>
        <v/>
      </c>
      <c r="I42" s="28" t="str">
        <f>IF($O42="","",INDEX(食材マスタ!$R$10:$R$309,$O42))</f>
        <v/>
      </c>
      <c r="J42" s="28" t="str">
        <f>IF($O42="","",INDEX(食材マスタ!$U$10:$U$309,$O42))</f>
        <v/>
      </c>
      <c r="K42" s="23" t="str">
        <f>IF($O42="","",INDEX(食材マスタ!$H$10:$H$309,$O42))</f>
        <v/>
      </c>
      <c r="L42" s="29" t="str">
        <f>IF($O42="","",INDEX(食材マスタ!$K$10:$K$309,$O42))</f>
        <v/>
      </c>
      <c r="M42" s="29" t="str">
        <f t="shared" si="1"/>
        <v/>
      </c>
      <c r="N42" s="24" t="str">
        <f>IF($O42="","",INDEX(食材マスタ!$T$10:$T$309,$O42))</f>
        <v/>
      </c>
      <c r="O42" t="str">
        <f>IFERROR(MATCH(34,食材マスタ!$Z$10:$Z$309,0),"")</f>
        <v/>
      </c>
    </row>
    <row r="43" spans="2:15">
      <c r="B43" s="23" t="str">
        <f>IF(O43="","",35)</f>
        <v/>
      </c>
      <c r="C43" s="23" t="str">
        <f>IF($O43="","",INDEX(食材マスタ!$C$10:$C$309,$O43))</f>
        <v/>
      </c>
      <c r="D43" s="27" t="str">
        <f>IF($O43="","",INDEX(食材マスタ!$D$10:$D$309,$O43))</f>
        <v/>
      </c>
      <c r="E43" s="27" t="str">
        <f>IF($O43="","",INDEX(食材マスタ!$E$10:$E$309,$O43))</f>
        <v/>
      </c>
      <c r="F43" s="27" t="str">
        <f>IF($O43="","",INDEX(食材マスタ!$J$10:$J$309,$O43))</f>
        <v/>
      </c>
      <c r="G43" s="23" t="str">
        <f>IF($O43="","",INDEX(食材マスタ!$G$10:$G$309,$O43))</f>
        <v/>
      </c>
      <c r="H43" s="28" t="str">
        <f>IF($O43="","",INDEX(食材マスタ!$P$10:$P$309,$O43))</f>
        <v/>
      </c>
      <c r="I43" s="28" t="str">
        <f>IF($O43="","",INDEX(食材マスタ!$R$10:$R$309,$O43))</f>
        <v/>
      </c>
      <c r="J43" s="28" t="str">
        <f>IF($O43="","",INDEX(食材マスタ!$U$10:$U$309,$O43))</f>
        <v/>
      </c>
      <c r="K43" s="23" t="str">
        <f>IF($O43="","",INDEX(食材マスタ!$H$10:$H$309,$O43))</f>
        <v/>
      </c>
      <c r="L43" s="29" t="str">
        <f>IF($O43="","",INDEX(食材マスタ!$K$10:$K$309,$O43))</f>
        <v/>
      </c>
      <c r="M43" s="29" t="str">
        <f t="shared" si="1"/>
        <v/>
      </c>
      <c r="N43" s="24" t="str">
        <f>IF($O43="","",INDEX(食材マスタ!$T$10:$T$309,$O43))</f>
        <v/>
      </c>
      <c r="O43" t="str">
        <f>IFERROR(MATCH(35,食材マスタ!$Z$10:$Z$309,0),"")</f>
        <v/>
      </c>
    </row>
    <row r="44" spans="2:15">
      <c r="B44" s="23" t="str">
        <f>IF(O44="","",36)</f>
        <v/>
      </c>
      <c r="C44" s="23" t="str">
        <f>IF($O44="","",INDEX(食材マスタ!$C$10:$C$309,$O44))</f>
        <v/>
      </c>
      <c r="D44" s="27" t="str">
        <f>IF($O44="","",INDEX(食材マスタ!$D$10:$D$309,$O44))</f>
        <v/>
      </c>
      <c r="E44" s="27" t="str">
        <f>IF($O44="","",INDEX(食材マスタ!$E$10:$E$309,$O44))</f>
        <v/>
      </c>
      <c r="F44" s="27" t="str">
        <f>IF($O44="","",INDEX(食材マスタ!$J$10:$J$309,$O44))</f>
        <v/>
      </c>
      <c r="G44" s="23" t="str">
        <f>IF($O44="","",INDEX(食材マスタ!$G$10:$G$309,$O44))</f>
        <v/>
      </c>
      <c r="H44" s="28" t="str">
        <f>IF($O44="","",INDEX(食材マスタ!$P$10:$P$309,$O44))</f>
        <v/>
      </c>
      <c r="I44" s="28" t="str">
        <f>IF($O44="","",INDEX(食材マスタ!$R$10:$R$309,$O44))</f>
        <v/>
      </c>
      <c r="J44" s="28" t="str">
        <f>IF($O44="","",INDEX(食材マスタ!$U$10:$U$309,$O44))</f>
        <v/>
      </c>
      <c r="K44" s="23" t="str">
        <f>IF($O44="","",INDEX(食材マスタ!$H$10:$H$309,$O44))</f>
        <v/>
      </c>
      <c r="L44" s="29" t="str">
        <f>IF($O44="","",INDEX(食材マスタ!$K$10:$K$309,$O44))</f>
        <v/>
      </c>
      <c r="M44" s="29" t="str">
        <f t="shared" si="1"/>
        <v/>
      </c>
      <c r="N44" s="24" t="str">
        <f>IF($O44="","",INDEX(食材マスタ!$T$10:$T$309,$O44))</f>
        <v/>
      </c>
      <c r="O44" t="str">
        <f>IFERROR(MATCH(36,食材マスタ!$Z$10:$Z$309,0),"")</f>
        <v/>
      </c>
    </row>
    <row r="45" spans="2:15">
      <c r="B45" s="23" t="str">
        <f>IF(O45="","",37)</f>
        <v/>
      </c>
      <c r="C45" s="23" t="str">
        <f>IF($O45="","",INDEX(食材マスタ!$C$10:$C$309,$O45))</f>
        <v/>
      </c>
      <c r="D45" s="27" t="str">
        <f>IF($O45="","",INDEX(食材マスタ!$D$10:$D$309,$O45))</f>
        <v/>
      </c>
      <c r="E45" s="27" t="str">
        <f>IF($O45="","",INDEX(食材マスタ!$E$10:$E$309,$O45))</f>
        <v/>
      </c>
      <c r="F45" s="27" t="str">
        <f>IF($O45="","",INDEX(食材マスタ!$J$10:$J$309,$O45))</f>
        <v/>
      </c>
      <c r="G45" s="23" t="str">
        <f>IF($O45="","",INDEX(食材マスタ!$G$10:$G$309,$O45))</f>
        <v/>
      </c>
      <c r="H45" s="28" t="str">
        <f>IF($O45="","",INDEX(食材マスタ!$P$10:$P$309,$O45))</f>
        <v/>
      </c>
      <c r="I45" s="28" t="str">
        <f>IF($O45="","",INDEX(食材マスタ!$R$10:$R$309,$O45))</f>
        <v/>
      </c>
      <c r="J45" s="28" t="str">
        <f>IF($O45="","",INDEX(食材マスタ!$U$10:$U$309,$O45))</f>
        <v/>
      </c>
      <c r="K45" s="23" t="str">
        <f>IF($O45="","",INDEX(食材マスタ!$H$10:$H$309,$O45))</f>
        <v/>
      </c>
      <c r="L45" s="29" t="str">
        <f>IF($O45="","",INDEX(食材マスタ!$K$10:$K$309,$O45))</f>
        <v/>
      </c>
      <c r="M45" s="29" t="str">
        <f t="shared" si="1"/>
        <v/>
      </c>
      <c r="N45" s="24" t="str">
        <f>IF($O45="","",INDEX(食材マスタ!$T$10:$T$309,$O45))</f>
        <v/>
      </c>
      <c r="O45" t="str">
        <f>IFERROR(MATCH(37,食材マスタ!$Z$10:$Z$309,0),"")</f>
        <v/>
      </c>
    </row>
    <row r="46" spans="2:15">
      <c r="B46" s="23" t="str">
        <f>IF(O46="","",38)</f>
        <v/>
      </c>
      <c r="C46" s="23" t="str">
        <f>IF($O46="","",INDEX(食材マスタ!$C$10:$C$309,$O46))</f>
        <v/>
      </c>
      <c r="D46" s="27" t="str">
        <f>IF($O46="","",INDEX(食材マスタ!$D$10:$D$309,$O46))</f>
        <v/>
      </c>
      <c r="E46" s="27" t="str">
        <f>IF($O46="","",INDEX(食材マスタ!$E$10:$E$309,$O46))</f>
        <v/>
      </c>
      <c r="F46" s="27" t="str">
        <f>IF($O46="","",INDEX(食材マスタ!$J$10:$J$309,$O46))</f>
        <v/>
      </c>
      <c r="G46" s="23" t="str">
        <f>IF($O46="","",INDEX(食材マスタ!$G$10:$G$309,$O46))</f>
        <v/>
      </c>
      <c r="H46" s="28" t="str">
        <f>IF($O46="","",INDEX(食材マスタ!$P$10:$P$309,$O46))</f>
        <v/>
      </c>
      <c r="I46" s="28" t="str">
        <f>IF($O46="","",INDEX(食材マスタ!$R$10:$R$309,$O46))</f>
        <v/>
      </c>
      <c r="J46" s="28" t="str">
        <f>IF($O46="","",INDEX(食材マスタ!$U$10:$U$309,$O46))</f>
        <v/>
      </c>
      <c r="K46" s="23" t="str">
        <f>IF($O46="","",INDEX(食材マスタ!$H$10:$H$309,$O46))</f>
        <v/>
      </c>
      <c r="L46" s="29" t="str">
        <f>IF($O46="","",INDEX(食材マスタ!$K$10:$K$309,$O46))</f>
        <v/>
      </c>
      <c r="M46" s="29" t="str">
        <f t="shared" si="1"/>
        <v/>
      </c>
      <c r="N46" s="24" t="str">
        <f>IF($O46="","",INDEX(食材マスタ!$T$10:$T$309,$O46))</f>
        <v/>
      </c>
      <c r="O46" t="str">
        <f>IFERROR(MATCH(38,食材マスタ!$Z$10:$Z$309,0),"")</f>
        <v/>
      </c>
    </row>
    <row r="47" spans="2:15">
      <c r="B47" s="23" t="str">
        <f>IF(O47="","",39)</f>
        <v/>
      </c>
      <c r="C47" s="23" t="str">
        <f>IF($O47="","",INDEX(食材マスタ!$C$10:$C$309,$O47))</f>
        <v/>
      </c>
      <c r="D47" s="27" t="str">
        <f>IF($O47="","",INDEX(食材マスタ!$D$10:$D$309,$O47))</f>
        <v/>
      </c>
      <c r="E47" s="27" t="str">
        <f>IF($O47="","",INDEX(食材マスタ!$E$10:$E$309,$O47))</f>
        <v/>
      </c>
      <c r="F47" s="27" t="str">
        <f>IF($O47="","",INDEX(食材マスタ!$J$10:$J$309,$O47))</f>
        <v/>
      </c>
      <c r="G47" s="23" t="str">
        <f>IF($O47="","",INDEX(食材マスタ!$G$10:$G$309,$O47))</f>
        <v/>
      </c>
      <c r="H47" s="28" t="str">
        <f>IF($O47="","",INDEX(食材マスタ!$P$10:$P$309,$O47))</f>
        <v/>
      </c>
      <c r="I47" s="28" t="str">
        <f>IF($O47="","",INDEX(食材マスタ!$R$10:$R$309,$O47))</f>
        <v/>
      </c>
      <c r="J47" s="28" t="str">
        <f>IF($O47="","",INDEX(食材マスタ!$U$10:$U$309,$O47))</f>
        <v/>
      </c>
      <c r="K47" s="23" t="str">
        <f>IF($O47="","",INDEX(食材マスタ!$H$10:$H$309,$O47))</f>
        <v/>
      </c>
      <c r="L47" s="29" t="str">
        <f>IF($O47="","",INDEX(食材マスタ!$K$10:$K$309,$O47))</f>
        <v/>
      </c>
      <c r="M47" s="29" t="str">
        <f t="shared" si="1"/>
        <v/>
      </c>
      <c r="N47" s="24" t="str">
        <f>IF($O47="","",INDEX(食材マスタ!$T$10:$T$309,$O47))</f>
        <v/>
      </c>
      <c r="O47" t="str">
        <f>IFERROR(MATCH(39,食材マスタ!$Z$10:$Z$309,0),"")</f>
        <v/>
      </c>
    </row>
    <row r="48" spans="2:15">
      <c r="B48" s="23" t="str">
        <f>IF(O48="","",40)</f>
        <v/>
      </c>
      <c r="C48" s="23" t="str">
        <f>IF($O48="","",INDEX(食材マスタ!$C$10:$C$309,$O48))</f>
        <v/>
      </c>
      <c r="D48" s="27" t="str">
        <f>IF($O48="","",INDEX(食材マスタ!$D$10:$D$309,$O48))</f>
        <v/>
      </c>
      <c r="E48" s="27" t="str">
        <f>IF($O48="","",INDEX(食材マスタ!$E$10:$E$309,$O48))</f>
        <v/>
      </c>
      <c r="F48" s="27" t="str">
        <f>IF($O48="","",INDEX(食材マスタ!$J$10:$J$309,$O48))</f>
        <v/>
      </c>
      <c r="G48" s="23" t="str">
        <f>IF($O48="","",INDEX(食材マスタ!$G$10:$G$309,$O48))</f>
        <v/>
      </c>
      <c r="H48" s="28" t="str">
        <f>IF($O48="","",INDEX(食材マスタ!$P$10:$P$309,$O48))</f>
        <v/>
      </c>
      <c r="I48" s="28" t="str">
        <f>IF($O48="","",INDEX(食材マスタ!$R$10:$R$309,$O48))</f>
        <v/>
      </c>
      <c r="J48" s="28" t="str">
        <f>IF($O48="","",INDEX(食材マスタ!$U$10:$U$309,$O48))</f>
        <v/>
      </c>
      <c r="K48" s="23" t="str">
        <f>IF($O48="","",INDEX(食材マスタ!$H$10:$H$309,$O48))</f>
        <v/>
      </c>
      <c r="L48" s="29" t="str">
        <f>IF($O48="","",INDEX(食材マスタ!$K$10:$K$309,$O48))</f>
        <v/>
      </c>
      <c r="M48" s="29" t="str">
        <f t="shared" si="1"/>
        <v/>
      </c>
      <c r="N48" s="24" t="str">
        <f>IF($O48="","",INDEX(食材マスタ!$T$10:$T$309,$O48))</f>
        <v/>
      </c>
      <c r="O48" t="str">
        <f>IFERROR(MATCH(40,食材マスタ!$Z$10:$Z$309,0),"")</f>
        <v/>
      </c>
    </row>
    <row r="49" spans="2:15">
      <c r="B49" s="23" t="str">
        <f>IF(O49="","",41)</f>
        <v/>
      </c>
      <c r="C49" s="23" t="str">
        <f>IF($O49="","",INDEX(食材マスタ!$C$10:$C$309,$O49))</f>
        <v/>
      </c>
      <c r="D49" s="27" t="str">
        <f>IF($O49="","",INDEX(食材マスタ!$D$10:$D$309,$O49))</f>
        <v/>
      </c>
      <c r="E49" s="27" t="str">
        <f>IF($O49="","",INDEX(食材マスタ!$E$10:$E$309,$O49))</f>
        <v/>
      </c>
      <c r="F49" s="27" t="str">
        <f>IF($O49="","",INDEX(食材マスタ!$J$10:$J$309,$O49))</f>
        <v/>
      </c>
      <c r="G49" s="23" t="str">
        <f>IF($O49="","",INDEX(食材マスタ!$G$10:$G$309,$O49))</f>
        <v/>
      </c>
      <c r="H49" s="28" t="str">
        <f>IF($O49="","",INDEX(食材マスタ!$P$10:$P$309,$O49))</f>
        <v/>
      </c>
      <c r="I49" s="28" t="str">
        <f>IF($O49="","",INDEX(食材マスタ!$R$10:$R$309,$O49))</f>
        <v/>
      </c>
      <c r="J49" s="28" t="str">
        <f>IF($O49="","",INDEX(食材マスタ!$U$10:$U$309,$O49))</f>
        <v/>
      </c>
      <c r="K49" s="23" t="str">
        <f>IF($O49="","",INDEX(食材マスタ!$H$10:$H$309,$O49))</f>
        <v/>
      </c>
      <c r="L49" s="29" t="str">
        <f>IF($O49="","",INDEX(食材マスタ!$K$10:$K$309,$O49))</f>
        <v/>
      </c>
      <c r="M49" s="29" t="str">
        <f t="shared" si="1"/>
        <v/>
      </c>
      <c r="N49" s="24" t="str">
        <f>IF($O49="","",INDEX(食材マスタ!$T$10:$T$309,$O49))</f>
        <v/>
      </c>
      <c r="O49" t="str">
        <f>IFERROR(MATCH(41,食材マスタ!$Z$10:$Z$309,0),"")</f>
        <v/>
      </c>
    </row>
    <row r="50" spans="2:15">
      <c r="B50" s="23" t="str">
        <f>IF(O50="","",42)</f>
        <v/>
      </c>
      <c r="C50" s="23" t="str">
        <f>IF($O50="","",INDEX(食材マスタ!$C$10:$C$309,$O50))</f>
        <v/>
      </c>
      <c r="D50" s="27" t="str">
        <f>IF($O50="","",INDEX(食材マスタ!$D$10:$D$309,$O50))</f>
        <v/>
      </c>
      <c r="E50" s="27" t="str">
        <f>IF($O50="","",INDEX(食材マスタ!$E$10:$E$309,$O50))</f>
        <v/>
      </c>
      <c r="F50" s="27" t="str">
        <f>IF($O50="","",INDEX(食材マスタ!$J$10:$J$309,$O50))</f>
        <v/>
      </c>
      <c r="G50" s="23" t="str">
        <f>IF($O50="","",INDEX(食材マスタ!$G$10:$G$309,$O50))</f>
        <v/>
      </c>
      <c r="H50" s="28" t="str">
        <f>IF($O50="","",INDEX(食材マスタ!$P$10:$P$309,$O50))</f>
        <v/>
      </c>
      <c r="I50" s="28" t="str">
        <f>IF($O50="","",INDEX(食材マスタ!$R$10:$R$309,$O50))</f>
        <v/>
      </c>
      <c r="J50" s="28" t="str">
        <f>IF($O50="","",INDEX(食材マスタ!$U$10:$U$309,$O50))</f>
        <v/>
      </c>
      <c r="K50" s="23" t="str">
        <f>IF($O50="","",INDEX(食材マスタ!$H$10:$H$309,$O50))</f>
        <v/>
      </c>
      <c r="L50" s="29" t="str">
        <f>IF($O50="","",INDEX(食材マスタ!$K$10:$K$309,$O50))</f>
        <v/>
      </c>
      <c r="M50" s="29" t="str">
        <f t="shared" si="1"/>
        <v/>
      </c>
      <c r="N50" s="24" t="str">
        <f>IF($O50="","",INDEX(食材マスタ!$T$10:$T$309,$O50))</f>
        <v/>
      </c>
      <c r="O50" t="str">
        <f>IFERROR(MATCH(42,食材マスタ!$Z$10:$Z$309,0),"")</f>
        <v/>
      </c>
    </row>
    <row r="51" spans="2:15">
      <c r="B51" s="23" t="str">
        <f>IF(O51="","",43)</f>
        <v/>
      </c>
      <c r="C51" s="23" t="str">
        <f>IF($O51="","",INDEX(食材マスタ!$C$10:$C$309,$O51))</f>
        <v/>
      </c>
      <c r="D51" s="27" t="str">
        <f>IF($O51="","",INDEX(食材マスタ!$D$10:$D$309,$O51))</f>
        <v/>
      </c>
      <c r="E51" s="27" t="str">
        <f>IF($O51="","",INDEX(食材マスタ!$E$10:$E$309,$O51))</f>
        <v/>
      </c>
      <c r="F51" s="27" t="str">
        <f>IF($O51="","",INDEX(食材マスタ!$J$10:$J$309,$O51))</f>
        <v/>
      </c>
      <c r="G51" s="23" t="str">
        <f>IF($O51="","",INDEX(食材マスタ!$G$10:$G$309,$O51))</f>
        <v/>
      </c>
      <c r="H51" s="28" t="str">
        <f>IF($O51="","",INDEX(食材マスタ!$P$10:$P$309,$O51))</f>
        <v/>
      </c>
      <c r="I51" s="28" t="str">
        <f>IF($O51="","",INDEX(食材マスタ!$R$10:$R$309,$O51))</f>
        <v/>
      </c>
      <c r="J51" s="28" t="str">
        <f>IF($O51="","",INDEX(食材マスタ!$U$10:$U$309,$O51))</f>
        <v/>
      </c>
      <c r="K51" s="23" t="str">
        <f>IF($O51="","",INDEX(食材マスタ!$H$10:$H$309,$O51))</f>
        <v/>
      </c>
      <c r="L51" s="29" t="str">
        <f>IF($O51="","",INDEX(食材マスタ!$K$10:$K$309,$O51))</f>
        <v/>
      </c>
      <c r="M51" s="29" t="str">
        <f t="shared" si="1"/>
        <v/>
      </c>
      <c r="N51" s="24" t="str">
        <f>IF($O51="","",INDEX(食材マスタ!$T$10:$T$309,$O51))</f>
        <v/>
      </c>
      <c r="O51" t="str">
        <f>IFERROR(MATCH(43,食材マスタ!$Z$10:$Z$309,0),"")</f>
        <v/>
      </c>
    </row>
    <row r="52" spans="2:15">
      <c r="B52" s="23" t="str">
        <f>IF(O52="","",44)</f>
        <v/>
      </c>
      <c r="C52" s="23" t="str">
        <f>IF($O52="","",INDEX(食材マスタ!$C$10:$C$309,$O52))</f>
        <v/>
      </c>
      <c r="D52" s="27" t="str">
        <f>IF($O52="","",INDEX(食材マスタ!$D$10:$D$309,$O52))</f>
        <v/>
      </c>
      <c r="E52" s="27" t="str">
        <f>IF($O52="","",INDEX(食材マスタ!$E$10:$E$309,$O52))</f>
        <v/>
      </c>
      <c r="F52" s="27" t="str">
        <f>IF($O52="","",INDEX(食材マスタ!$J$10:$J$309,$O52))</f>
        <v/>
      </c>
      <c r="G52" s="23" t="str">
        <f>IF($O52="","",INDEX(食材マスタ!$G$10:$G$309,$O52))</f>
        <v/>
      </c>
      <c r="H52" s="28" t="str">
        <f>IF($O52="","",INDEX(食材マスタ!$P$10:$P$309,$O52))</f>
        <v/>
      </c>
      <c r="I52" s="28" t="str">
        <f>IF($O52="","",INDEX(食材マスタ!$R$10:$R$309,$O52))</f>
        <v/>
      </c>
      <c r="J52" s="28" t="str">
        <f>IF($O52="","",INDEX(食材マスタ!$U$10:$U$309,$O52))</f>
        <v/>
      </c>
      <c r="K52" s="23" t="str">
        <f>IF($O52="","",INDEX(食材マスタ!$H$10:$H$309,$O52))</f>
        <v/>
      </c>
      <c r="L52" s="29" t="str">
        <f>IF($O52="","",INDEX(食材マスタ!$K$10:$K$309,$O52))</f>
        <v/>
      </c>
      <c r="M52" s="29" t="str">
        <f t="shared" si="1"/>
        <v/>
      </c>
      <c r="N52" s="24" t="str">
        <f>IF($O52="","",INDEX(食材マスタ!$T$10:$T$309,$O52))</f>
        <v/>
      </c>
      <c r="O52" t="str">
        <f>IFERROR(MATCH(44,食材マスタ!$Z$10:$Z$309,0),"")</f>
        <v/>
      </c>
    </row>
    <row r="53" spans="2:15">
      <c r="B53" s="23" t="str">
        <f>IF(O53="","",45)</f>
        <v/>
      </c>
      <c r="C53" s="23" t="str">
        <f>IF($O53="","",INDEX(食材マスタ!$C$10:$C$309,$O53))</f>
        <v/>
      </c>
      <c r="D53" s="27" t="str">
        <f>IF($O53="","",INDEX(食材マスタ!$D$10:$D$309,$O53))</f>
        <v/>
      </c>
      <c r="E53" s="27" t="str">
        <f>IF($O53="","",INDEX(食材マスタ!$E$10:$E$309,$O53))</f>
        <v/>
      </c>
      <c r="F53" s="27" t="str">
        <f>IF($O53="","",INDEX(食材マスタ!$J$10:$J$309,$O53))</f>
        <v/>
      </c>
      <c r="G53" s="23" t="str">
        <f>IF($O53="","",INDEX(食材マスタ!$G$10:$G$309,$O53))</f>
        <v/>
      </c>
      <c r="H53" s="28" t="str">
        <f>IF($O53="","",INDEX(食材マスタ!$P$10:$P$309,$O53))</f>
        <v/>
      </c>
      <c r="I53" s="28" t="str">
        <f>IF($O53="","",INDEX(食材マスタ!$R$10:$R$309,$O53))</f>
        <v/>
      </c>
      <c r="J53" s="28" t="str">
        <f>IF($O53="","",INDEX(食材マスタ!$U$10:$U$309,$O53))</f>
        <v/>
      </c>
      <c r="K53" s="23" t="str">
        <f>IF($O53="","",INDEX(食材マスタ!$H$10:$H$309,$O53))</f>
        <v/>
      </c>
      <c r="L53" s="29" t="str">
        <f>IF($O53="","",INDEX(食材マスタ!$K$10:$K$309,$O53))</f>
        <v/>
      </c>
      <c r="M53" s="29" t="str">
        <f t="shared" si="1"/>
        <v/>
      </c>
      <c r="N53" s="24" t="str">
        <f>IF($O53="","",INDEX(食材マスタ!$T$10:$T$309,$O53))</f>
        <v/>
      </c>
      <c r="O53" t="str">
        <f>IFERROR(MATCH(45,食材マスタ!$Z$10:$Z$309,0),"")</f>
        <v/>
      </c>
    </row>
    <row r="54" spans="2:15">
      <c r="B54" s="23" t="str">
        <f>IF(O54="","",46)</f>
        <v/>
      </c>
      <c r="C54" s="23" t="str">
        <f>IF($O54="","",INDEX(食材マスタ!$C$10:$C$309,$O54))</f>
        <v/>
      </c>
      <c r="D54" s="27" t="str">
        <f>IF($O54="","",INDEX(食材マスタ!$D$10:$D$309,$O54))</f>
        <v/>
      </c>
      <c r="E54" s="27" t="str">
        <f>IF($O54="","",INDEX(食材マスタ!$E$10:$E$309,$O54))</f>
        <v/>
      </c>
      <c r="F54" s="27" t="str">
        <f>IF($O54="","",INDEX(食材マスタ!$J$10:$J$309,$O54))</f>
        <v/>
      </c>
      <c r="G54" s="23" t="str">
        <f>IF($O54="","",INDEX(食材マスタ!$G$10:$G$309,$O54))</f>
        <v/>
      </c>
      <c r="H54" s="28" t="str">
        <f>IF($O54="","",INDEX(食材マスタ!$P$10:$P$309,$O54))</f>
        <v/>
      </c>
      <c r="I54" s="28" t="str">
        <f>IF($O54="","",INDEX(食材マスタ!$R$10:$R$309,$O54))</f>
        <v/>
      </c>
      <c r="J54" s="28" t="str">
        <f>IF($O54="","",INDEX(食材マスタ!$U$10:$U$309,$O54))</f>
        <v/>
      </c>
      <c r="K54" s="23" t="str">
        <f>IF($O54="","",INDEX(食材マスタ!$H$10:$H$309,$O54))</f>
        <v/>
      </c>
      <c r="L54" s="29" t="str">
        <f>IF($O54="","",INDEX(食材マスタ!$K$10:$K$309,$O54))</f>
        <v/>
      </c>
      <c r="M54" s="29" t="str">
        <f t="shared" si="1"/>
        <v/>
      </c>
      <c r="N54" s="24" t="str">
        <f>IF($O54="","",INDEX(食材マスタ!$T$10:$T$309,$O54))</f>
        <v/>
      </c>
      <c r="O54" t="str">
        <f>IFERROR(MATCH(46,食材マスタ!$Z$10:$Z$309,0),"")</f>
        <v/>
      </c>
    </row>
    <row r="55" spans="2:15">
      <c r="B55" s="23" t="str">
        <f>IF(O55="","",47)</f>
        <v/>
      </c>
      <c r="C55" s="23" t="str">
        <f>IF($O55="","",INDEX(食材マスタ!$C$10:$C$309,$O55))</f>
        <v/>
      </c>
      <c r="D55" s="27" t="str">
        <f>IF($O55="","",INDEX(食材マスタ!$D$10:$D$309,$O55))</f>
        <v/>
      </c>
      <c r="E55" s="27" t="str">
        <f>IF($O55="","",INDEX(食材マスタ!$E$10:$E$309,$O55))</f>
        <v/>
      </c>
      <c r="F55" s="27" t="str">
        <f>IF($O55="","",INDEX(食材マスタ!$J$10:$J$309,$O55))</f>
        <v/>
      </c>
      <c r="G55" s="23" t="str">
        <f>IF($O55="","",INDEX(食材マスタ!$G$10:$G$309,$O55))</f>
        <v/>
      </c>
      <c r="H55" s="28" t="str">
        <f>IF($O55="","",INDEX(食材マスタ!$P$10:$P$309,$O55))</f>
        <v/>
      </c>
      <c r="I55" s="28" t="str">
        <f>IF($O55="","",INDEX(食材マスタ!$R$10:$R$309,$O55))</f>
        <v/>
      </c>
      <c r="J55" s="28" t="str">
        <f>IF($O55="","",INDEX(食材マスタ!$U$10:$U$309,$O55))</f>
        <v/>
      </c>
      <c r="K55" s="23" t="str">
        <f>IF($O55="","",INDEX(食材マスタ!$H$10:$H$309,$O55))</f>
        <v/>
      </c>
      <c r="L55" s="29" t="str">
        <f>IF($O55="","",INDEX(食材マスタ!$K$10:$K$309,$O55))</f>
        <v/>
      </c>
      <c r="M55" s="29" t="str">
        <f t="shared" si="1"/>
        <v/>
      </c>
      <c r="N55" s="24" t="str">
        <f>IF($O55="","",INDEX(食材マスタ!$T$10:$T$309,$O55))</f>
        <v/>
      </c>
      <c r="O55" t="str">
        <f>IFERROR(MATCH(47,食材マスタ!$Z$10:$Z$309,0),"")</f>
        <v/>
      </c>
    </row>
    <row r="56" spans="2:15">
      <c r="B56" s="23" t="str">
        <f>IF(O56="","",48)</f>
        <v/>
      </c>
      <c r="C56" s="23" t="str">
        <f>IF($O56="","",INDEX(食材マスタ!$C$10:$C$309,$O56))</f>
        <v/>
      </c>
      <c r="D56" s="27" t="str">
        <f>IF($O56="","",INDEX(食材マスタ!$D$10:$D$309,$O56))</f>
        <v/>
      </c>
      <c r="E56" s="27" t="str">
        <f>IF($O56="","",INDEX(食材マスタ!$E$10:$E$309,$O56))</f>
        <v/>
      </c>
      <c r="F56" s="27" t="str">
        <f>IF($O56="","",INDEX(食材マスタ!$J$10:$J$309,$O56))</f>
        <v/>
      </c>
      <c r="G56" s="23" t="str">
        <f>IF($O56="","",INDEX(食材マスタ!$G$10:$G$309,$O56))</f>
        <v/>
      </c>
      <c r="H56" s="28" t="str">
        <f>IF($O56="","",INDEX(食材マスタ!$P$10:$P$309,$O56))</f>
        <v/>
      </c>
      <c r="I56" s="28" t="str">
        <f>IF($O56="","",INDEX(食材マスタ!$R$10:$R$309,$O56))</f>
        <v/>
      </c>
      <c r="J56" s="28" t="str">
        <f>IF($O56="","",INDEX(食材マスタ!$U$10:$U$309,$O56))</f>
        <v/>
      </c>
      <c r="K56" s="23" t="str">
        <f>IF($O56="","",INDEX(食材マスタ!$H$10:$H$309,$O56))</f>
        <v/>
      </c>
      <c r="L56" s="29" t="str">
        <f>IF($O56="","",INDEX(食材マスタ!$K$10:$K$309,$O56))</f>
        <v/>
      </c>
      <c r="M56" s="29" t="str">
        <f t="shared" si="1"/>
        <v/>
      </c>
      <c r="N56" s="24" t="str">
        <f>IF($O56="","",INDEX(食材マスタ!$T$10:$T$309,$O56))</f>
        <v/>
      </c>
      <c r="O56" t="str">
        <f>IFERROR(MATCH(48,食材マスタ!$Z$10:$Z$309,0),"")</f>
        <v/>
      </c>
    </row>
    <row r="57" spans="2:15">
      <c r="B57" s="23" t="str">
        <f>IF(O57="","",49)</f>
        <v/>
      </c>
      <c r="C57" s="23" t="str">
        <f>IF($O57="","",INDEX(食材マスタ!$C$10:$C$309,$O57))</f>
        <v/>
      </c>
      <c r="D57" s="27" t="str">
        <f>IF($O57="","",INDEX(食材マスタ!$D$10:$D$309,$O57))</f>
        <v/>
      </c>
      <c r="E57" s="27" t="str">
        <f>IF($O57="","",INDEX(食材マスタ!$E$10:$E$309,$O57))</f>
        <v/>
      </c>
      <c r="F57" s="27" t="str">
        <f>IF($O57="","",INDEX(食材マスタ!$J$10:$J$309,$O57))</f>
        <v/>
      </c>
      <c r="G57" s="23" t="str">
        <f>IF($O57="","",INDEX(食材マスタ!$G$10:$G$309,$O57))</f>
        <v/>
      </c>
      <c r="H57" s="28" t="str">
        <f>IF($O57="","",INDEX(食材マスタ!$P$10:$P$309,$O57))</f>
        <v/>
      </c>
      <c r="I57" s="28" t="str">
        <f>IF($O57="","",INDEX(食材マスタ!$R$10:$R$309,$O57))</f>
        <v/>
      </c>
      <c r="J57" s="28" t="str">
        <f>IF($O57="","",INDEX(食材マスタ!$U$10:$U$309,$O57))</f>
        <v/>
      </c>
      <c r="K57" s="23" t="str">
        <f>IF($O57="","",INDEX(食材マスタ!$H$10:$H$309,$O57))</f>
        <v/>
      </c>
      <c r="L57" s="29" t="str">
        <f>IF($O57="","",INDEX(食材マスタ!$K$10:$K$309,$O57))</f>
        <v/>
      </c>
      <c r="M57" s="29" t="str">
        <f t="shared" si="1"/>
        <v/>
      </c>
      <c r="N57" s="24" t="str">
        <f>IF($O57="","",INDEX(食材マスタ!$T$10:$T$309,$O57))</f>
        <v/>
      </c>
      <c r="O57" t="str">
        <f>IFERROR(MATCH(49,食材マスタ!$Z$10:$Z$309,0),"")</f>
        <v/>
      </c>
    </row>
    <row r="58" spans="2:15">
      <c r="B58" s="23" t="str">
        <f>IF(O58="","",50)</f>
        <v/>
      </c>
      <c r="C58" s="23" t="str">
        <f>IF($O58="","",INDEX(食材マスタ!$C$10:$C$309,$O58))</f>
        <v/>
      </c>
      <c r="D58" s="27" t="str">
        <f>IF($O58="","",INDEX(食材マスタ!$D$10:$D$309,$O58))</f>
        <v/>
      </c>
      <c r="E58" s="27" t="str">
        <f>IF($O58="","",INDEX(食材マスタ!$E$10:$E$309,$O58))</f>
        <v/>
      </c>
      <c r="F58" s="27" t="str">
        <f>IF($O58="","",INDEX(食材マスタ!$J$10:$J$309,$O58))</f>
        <v/>
      </c>
      <c r="G58" s="23" t="str">
        <f>IF($O58="","",INDEX(食材マスタ!$G$10:$G$309,$O58))</f>
        <v/>
      </c>
      <c r="H58" s="28" t="str">
        <f>IF($O58="","",INDEX(食材マスタ!$P$10:$P$309,$O58))</f>
        <v/>
      </c>
      <c r="I58" s="28" t="str">
        <f>IF($O58="","",INDEX(食材マスタ!$R$10:$R$309,$O58))</f>
        <v/>
      </c>
      <c r="J58" s="28" t="str">
        <f>IF($O58="","",INDEX(食材マスタ!$U$10:$U$309,$O58))</f>
        <v/>
      </c>
      <c r="K58" s="23" t="str">
        <f>IF($O58="","",INDEX(食材マスタ!$H$10:$H$309,$O58))</f>
        <v/>
      </c>
      <c r="L58" s="29" t="str">
        <f>IF($O58="","",INDEX(食材マスタ!$K$10:$K$309,$O58))</f>
        <v/>
      </c>
      <c r="M58" s="29" t="str">
        <f t="shared" si="1"/>
        <v/>
      </c>
      <c r="N58" s="24" t="str">
        <f>IF($O58="","",INDEX(食材マスタ!$T$10:$T$309,$O58))</f>
        <v/>
      </c>
      <c r="O58" t="str">
        <f>IFERROR(MATCH(50,食材マスタ!$Z$10:$Z$309,0),"")</f>
        <v/>
      </c>
    </row>
  </sheetData>
  <mergeCells count="5">
    <mergeCell ref="B6:D6"/>
    <mergeCell ref="E6:F6"/>
    <mergeCell ref="B7:D7"/>
    <mergeCell ref="E7:F7"/>
    <mergeCell ref="B3:E5"/>
  </mergeCells>
  <phoneticPr fontId="17"/>
  <conditionalFormatting sqref="N9:N58">
    <cfRule type="expression" dxfId="3" priority="2">
      <formula>N9="在庫異常"</formula>
    </cfRule>
    <cfRule type="expression" dxfId="2" priority="3">
      <formula>N9="欠品"</formula>
    </cfRule>
    <cfRule type="expression" dxfId="1" priority="4">
      <formula>N9="要発注"</formula>
    </cfRule>
  </conditionalFormatting>
  <hyperlinks>
    <hyperlink ref="A1" r:id="rId1" display="テンプレート倉庫" xr:uid="{22994942-D6C5-4C4F-AF71-8FB2B189EBE8}"/>
  </hyperlinks>
  <pageMargins left="0.62992125984251968" right="0.39370078740157483" top="0.47244094488188981" bottom="0.23622047244094491" header="0.39370078740157483" footer="0.15748031496062992"/>
  <pageSetup scale="80" fitToHeight="0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AI45"/>
  <sheetViews>
    <sheetView showGridLines="0" zoomScaleNormal="100" workbookViewId="0"/>
  </sheetViews>
  <sheetFormatPr defaultColWidth="8.7109375" defaultRowHeight="15"/>
  <cols>
    <col min="1" max="1" width="2" customWidth="1"/>
    <col min="2" max="2" width="16" customWidth="1"/>
    <col min="3" max="7" width="14" customWidth="1"/>
    <col min="8" max="8" width="8.5703125" customWidth="1"/>
  </cols>
  <sheetData>
    <row r="1" spans="1:35" s="53" customFormat="1" ht="45" customHeight="1">
      <c r="A1" s="52" t="s">
        <v>181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</row>
    <row r="2" spans="1:35" ht="20.25">
      <c r="B2" s="30" t="s">
        <v>151</v>
      </c>
    </row>
    <row r="4" spans="1:35" ht="15.75">
      <c r="B4" s="31" t="s">
        <v>152</v>
      </c>
    </row>
    <row r="5" spans="1:35" ht="30" customHeight="1">
      <c r="B5" s="7" t="s">
        <v>12</v>
      </c>
      <c r="C5" s="7" t="s">
        <v>153</v>
      </c>
      <c r="D5" s="7" t="s">
        <v>23</v>
      </c>
      <c r="E5" s="7" t="s">
        <v>154</v>
      </c>
      <c r="F5" s="7" t="s">
        <v>155</v>
      </c>
      <c r="G5" s="7" t="s">
        <v>156</v>
      </c>
    </row>
    <row r="6" spans="1:35">
      <c r="B6" s="32" t="str">
        <f>IF(設定!B8="","",設定!B8)</f>
        <v>肉類</v>
      </c>
      <c r="C6" s="33">
        <f>IF($B6="","",COUNTIF(食材マスタ!$F$10:$F$309,$B6))</f>
        <v>1</v>
      </c>
      <c r="D6" s="29">
        <f>IF($B6="","",SUMIFS(食材マスタ!$Q$10:$Q$309,食材マスタ!$F$10:$F$309,$B6))</f>
        <v>7350</v>
      </c>
      <c r="E6" s="34">
        <f t="shared" ref="E6:E25" si="0">IF($B6="","",IFERROR(D6/$D$26,0))</f>
        <v>0.29682578143930216</v>
      </c>
      <c r="F6" s="33">
        <f>IF($B6="","",COUNTIFS(食材マスタ!$F$10:$F$309,$B6,食材マスタ!$T$10:$T$309,"要発注")+COUNTIFS(食材マスタ!$F$10:$F$309,$B6,食材マスタ!$T$10:$T$309,"欠品"))</f>
        <v>0</v>
      </c>
      <c r="G6" s="33">
        <f ca="1">IF($B6="","",COUNTIFS(食材マスタ!$F$10:$F$309,$B6,食材マスタ!$W$10:$W$309,"期限切れ")+COUNTIFS(食材マスタ!$F$10:$F$309,$B6,食材マスタ!$W$10:$W$309,"期限間近"))</f>
        <v>1</v>
      </c>
    </row>
    <row r="7" spans="1:35">
      <c r="B7" s="32" t="str">
        <f>IF(設定!B9="","",設定!B9)</f>
        <v>魚介類</v>
      </c>
      <c r="C7" s="33">
        <f>IF($B7="","",COUNTIF(食材マスタ!$F$10:$F$309,$B7))</f>
        <v>1</v>
      </c>
      <c r="D7" s="29">
        <f>IF($B7="","",SUMIFS(食材マスタ!$Q$10:$Q$309,食材マスタ!$F$10:$F$309,$B7))</f>
        <v>5600</v>
      </c>
      <c r="E7" s="34">
        <f t="shared" si="0"/>
        <v>0.22615297633470641</v>
      </c>
      <c r="F7" s="33">
        <f>IF($B7="","",COUNTIFS(食材マスタ!$F$10:$F$309,$B7,食材マスタ!$T$10:$T$309,"要発注")+COUNTIFS(食材マスタ!$F$10:$F$309,$B7,食材マスタ!$T$10:$T$309,"欠品"))</f>
        <v>1</v>
      </c>
      <c r="G7" s="33">
        <f ca="1">IF($B7="","",COUNTIFS(食材マスタ!$F$10:$F$309,$B7,食材マスタ!$W$10:$W$309,"期限切れ")+COUNTIFS(食材マスタ!$F$10:$F$309,$B7,食材マスタ!$W$10:$W$309,"期限間近"))</f>
        <v>0</v>
      </c>
    </row>
    <row r="8" spans="1:35">
      <c r="B8" s="32" t="str">
        <f>IF(設定!B10="","",設定!B10)</f>
        <v>野菜・果物</v>
      </c>
      <c r="C8" s="33">
        <f>IF($B8="","",COUNTIF(食材マスタ!$F$10:$F$309,$B8))</f>
        <v>2</v>
      </c>
      <c r="D8" s="29">
        <f>IF($B8="","",SUMIFS(食材マスタ!$Q$10:$Q$309,食材マスタ!$F$10:$F$309,$B8))</f>
        <v>3292</v>
      </c>
      <c r="E8" s="34">
        <f t="shared" si="0"/>
        <v>0.13294564251675955</v>
      </c>
      <c r="F8" s="33">
        <f>IF($B8="","",COUNTIFS(食材マスタ!$F$10:$F$309,$B8,食材マスタ!$T$10:$T$309,"要発注")+COUNTIFS(食材マスタ!$F$10:$F$309,$B8,食材マスタ!$T$10:$T$309,"欠品"))</f>
        <v>1</v>
      </c>
      <c r="G8" s="33">
        <f ca="1">IF($B8="","",COUNTIFS(食材マスタ!$F$10:$F$309,$B8,食材マスタ!$W$10:$W$309,"期限切れ")+COUNTIFS(食材マスタ!$F$10:$F$309,$B8,食材マスタ!$W$10:$W$309,"期限間近"))</f>
        <v>1</v>
      </c>
    </row>
    <row r="9" spans="1:35">
      <c r="B9" s="32" t="str">
        <f>IF(設定!B11="","",設定!B11)</f>
        <v>乳製品・卵</v>
      </c>
      <c r="C9" s="33">
        <f>IF($B9="","",COUNTIF(食材マスタ!$F$10:$F$309,$B9))</f>
        <v>2</v>
      </c>
      <c r="D9" s="29">
        <f>IF($B9="","",SUMIFS(食材マスタ!$Q$10:$Q$309,食材マスタ!$F$10:$F$309,$B9))</f>
        <v>1380</v>
      </c>
      <c r="E9" s="34">
        <f t="shared" si="0"/>
        <v>5.5730554882481222E-2</v>
      </c>
      <c r="F9" s="33">
        <f>IF($B9="","",COUNTIFS(食材マスタ!$F$10:$F$309,$B9,食材マスタ!$T$10:$T$309,"要発注")+COUNTIFS(食材マスタ!$F$10:$F$309,$B9,食材マスタ!$T$10:$T$309,"欠品"))</f>
        <v>2</v>
      </c>
      <c r="G9" s="33">
        <f ca="1">IF($B9="","",COUNTIFS(食材マスタ!$F$10:$F$309,$B9,食材マスタ!$W$10:$W$309,"期限切れ")+COUNTIFS(食材マスタ!$F$10:$F$309,$B9,食材マスタ!$W$10:$W$309,"期限間近"))</f>
        <v>1</v>
      </c>
    </row>
    <row r="10" spans="1:35">
      <c r="B10" s="32" t="str">
        <f>IF(設定!B12="","",設定!B12)</f>
        <v>調味料</v>
      </c>
      <c r="C10" s="33">
        <f>IF($B10="","",COUNTIF(食材マスタ!$F$10:$F$309,$B10))</f>
        <v>1</v>
      </c>
      <c r="D10" s="29">
        <f>IF($B10="","",SUMIFS(食材マスタ!$Q$10:$Q$309,食材マスタ!$F$10:$F$309,$B10))</f>
        <v>2080</v>
      </c>
      <c r="E10" s="34">
        <f t="shared" si="0"/>
        <v>8.3999676924319519E-2</v>
      </c>
      <c r="F10" s="33">
        <f>IF($B10="","",COUNTIFS(食材マスタ!$F$10:$F$309,$B10,食材マスタ!$T$10:$T$309,"要発注")+COUNTIFS(食材マスタ!$F$10:$F$309,$B10,食材マスタ!$T$10:$T$309,"欠品"))</f>
        <v>0</v>
      </c>
      <c r="G10" s="33">
        <f ca="1">IF($B10="","",COUNTIFS(食材マスタ!$F$10:$F$309,$B10,食材マスタ!$W$10:$W$309,"期限切れ")+COUNTIFS(食材マスタ!$F$10:$F$309,$B10,食材マスタ!$W$10:$W$309,"期限間近"))</f>
        <v>0</v>
      </c>
    </row>
    <row r="11" spans="1:35">
      <c r="B11" s="32" t="str">
        <f>IF(設定!B13="","",設定!B13)</f>
        <v>粉・乾物</v>
      </c>
      <c r="C11" s="33">
        <f>IF($B11="","",COUNTIF(食材マスタ!$F$10:$F$309,$B11))</f>
        <v>1</v>
      </c>
      <c r="D11" s="29">
        <f>IF($B11="","",SUMIFS(食材マスタ!$Q$10:$Q$309,食材マスタ!$F$10:$F$309,$B11))</f>
        <v>1820</v>
      </c>
      <c r="E11" s="34">
        <f t="shared" si="0"/>
        <v>7.3499717308779577E-2</v>
      </c>
      <c r="F11" s="33">
        <f>IF($B11="","",COUNTIFS(食材マスタ!$F$10:$F$309,$B11,食材マスタ!$T$10:$T$309,"要発注")+COUNTIFS(食材マスタ!$F$10:$F$309,$B11,食材マスタ!$T$10:$T$309,"欠品"))</f>
        <v>0</v>
      </c>
      <c r="G11" s="33">
        <f ca="1">IF($B11="","",COUNTIFS(食材マスタ!$F$10:$F$309,$B11,食材マスタ!$W$10:$W$309,"期限切れ")+COUNTIFS(食材マスタ!$F$10:$F$309,$B11,食材マスタ!$W$10:$W$309,"期限間近"))</f>
        <v>0</v>
      </c>
    </row>
    <row r="12" spans="1:35">
      <c r="B12" s="32" t="str">
        <f>IF(設定!B14="","",設定!B14)</f>
        <v>冷凍食品</v>
      </c>
      <c r="C12" s="33">
        <f>IF($B12="","",COUNTIF(食材マスタ!$F$10:$F$309,$B12))</f>
        <v>0</v>
      </c>
      <c r="D12" s="29">
        <f>IF($B12="","",SUMIFS(食材マスタ!$Q$10:$Q$309,食材マスタ!$F$10:$F$309,$B12))</f>
        <v>0</v>
      </c>
      <c r="E12" s="34">
        <f t="shared" si="0"/>
        <v>0</v>
      </c>
      <c r="F12" s="33">
        <f>IF($B12="","",COUNTIFS(食材マスタ!$F$10:$F$309,$B12,食材マスタ!$T$10:$T$309,"要発注")+COUNTIFS(食材マスタ!$F$10:$F$309,$B12,食材マスタ!$T$10:$T$309,"欠品"))</f>
        <v>0</v>
      </c>
      <c r="G12" s="33">
        <f>IF($B12="","",COUNTIFS(食材マスタ!$F$10:$F$309,$B12,食材マスタ!$W$10:$W$309,"期限切れ")+COUNTIFS(食材マスタ!$F$10:$F$309,$B12,食材マスタ!$W$10:$W$309,"期限間近"))</f>
        <v>0</v>
      </c>
    </row>
    <row r="13" spans="1:35">
      <c r="B13" s="32" t="str">
        <f>IF(設定!B15="","",設定!B15)</f>
        <v>飲料</v>
      </c>
      <c r="C13" s="33">
        <f>IF($B13="","",COUNTIF(食材マスタ!$F$10:$F$309,$B13))</f>
        <v>0</v>
      </c>
      <c r="D13" s="29">
        <f>IF($B13="","",SUMIFS(食材マスタ!$Q$10:$Q$309,食材マスタ!$F$10:$F$309,$B13))</f>
        <v>0</v>
      </c>
      <c r="E13" s="34">
        <f t="shared" si="0"/>
        <v>0</v>
      </c>
      <c r="F13" s="33">
        <f>IF($B13="","",COUNTIFS(食材マスタ!$F$10:$F$309,$B13,食材マスタ!$T$10:$T$309,"要発注")+COUNTIFS(食材マスタ!$F$10:$F$309,$B13,食材マスタ!$T$10:$T$309,"欠品"))</f>
        <v>0</v>
      </c>
      <c r="G13" s="33">
        <f>IF($B13="","",COUNTIFS(食材マスタ!$F$10:$F$309,$B13,食材マスタ!$W$10:$W$309,"期限切れ")+COUNTIFS(食材マスタ!$F$10:$F$309,$B13,食材マスタ!$W$10:$W$309,"期限間近"))</f>
        <v>0</v>
      </c>
    </row>
    <row r="14" spans="1:35">
      <c r="B14" s="32" t="str">
        <f>IF(設定!B16="","",設定!B16)</f>
        <v>包材・消耗品</v>
      </c>
      <c r="C14" s="33">
        <f>IF($B14="","",COUNTIF(食材マスタ!$F$10:$F$309,$B14))</f>
        <v>1</v>
      </c>
      <c r="D14" s="29">
        <f>IF($B14="","",SUMIFS(食材マスタ!$Q$10:$Q$309,食材マスタ!$F$10:$F$309,$B14))</f>
        <v>3240</v>
      </c>
      <c r="E14" s="34">
        <f t="shared" si="0"/>
        <v>0.13084565059365155</v>
      </c>
      <c r="F14" s="33">
        <f>IF($B14="","",COUNTIFS(食材マスタ!$F$10:$F$309,$B14,食材マスタ!$T$10:$T$309,"要発注")+COUNTIFS(食材マスタ!$F$10:$F$309,$B14,食材マスタ!$T$10:$T$309,"欠品"))</f>
        <v>0</v>
      </c>
      <c r="G14" s="33">
        <f ca="1">IF($B14="","",COUNTIFS(食材マスタ!$F$10:$F$309,$B14,食材マスタ!$W$10:$W$309,"期限切れ")+COUNTIFS(食材マスタ!$F$10:$F$309,$B14,食材マスタ!$W$10:$W$309,"期限間近"))</f>
        <v>0</v>
      </c>
    </row>
    <row r="15" spans="1:35">
      <c r="B15" s="32" t="str">
        <f>IF(設定!B17="","",設定!B17)</f>
        <v/>
      </c>
      <c r="C15" s="33" t="str">
        <f>IF($B15="","",COUNTIF(食材マスタ!$F$10:$F$309,$B15))</f>
        <v/>
      </c>
      <c r="D15" s="29" t="str">
        <f>IF($B15="","",SUMIFS(食材マスタ!$Q$10:$Q$309,食材マスタ!$F$10:$F$309,$B15))</f>
        <v/>
      </c>
      <c r="E15" s="34" t="str">
        <f t="shared" si="0"/>
        <v/>
      </c>
      <c r="F15" s="33" t="str">
        <f>IF($B15="","",COUNTIFS(食材マスタ!$F$10:$F$309,$B15,食材マスタ!$T$10:$T$309,"要発注")+COUNTIFS(食材マスタ!$F$10:$F$309,$B15,食材マスタ!$T$10:$T$309,"欠品"))</f>
        <v/>
      </c>
      <c r="G15" s="33" t="str">
        <f>IF($B15="","",COUNTIFS(食材マスタ!$F$10:$F$309,$B15,食材マスタ!$W$10:$W$309,"期限切れ")+COUNTIFS(食材マスタ!$F$10:$F$309,$B15,食材マスタ!$W$10:$W$309,"期限間近"))</f>
        <v/>
      </c>
    </row>
    <row r="16" spans="1:35">
      <c r="B16" s="32" t="str">
        <f>IF(設定!B18="","",設定!B18)</f>
        <v/>
      </c>
      <c r="C16" s="33" t="str">
        <f>IF($B16="","",COUNTIF(食材マスタ!$F$10:$F$309,$B16))</f>
        <v/>
      </c>
      <c r="D16" s="29" t="str">
        <f>IF($B16="","",SUMIFS(食材マスタ!$Q$10:$Q$309,食材マスタ!$F$10:$F$309,$B16))</f>
        <v/>
      </c>
      <c r="E16" s="34" t="str">
        <f t="shared" si="0"/>
        <v/>
      </c>
      <c r="F16" s="33" t="str">
        <f>IF($B16="","",COUNTIFS(食材マスタ!$F$10:$F$309,$B16,食材マスタ!$T$10:$T$309,"要発注")+COUNTIFS(食材マスタ!$F$10:$F$309,$B16,食材マスタ!$T$10:$T$309,"欠品"))</f>
        <v/>
      </c>
      <c r="G16" s="33" t="str">
        <f>IF($B16="","",COUNTIFS(食材マスタ!$F$10:$F$309,$B16,食材マスタ!$W$10:$W$309,"期限切れ")+COUNTIFS(食材マスタ!$F$10:$F$309,$B16,食材マスタ!$W$10:$W$309,"期限間近"))</f>
        <v/>
      </c>
    </row>
    <row r="17" spans="2:7">
      <c r="B17" s="32" t="str">
        <f>IF(設定!B19="","",設定!B19)</f>
        <v/>
      </c>
      <c r="C17" s="33" t="str">
        <f>IF($B17="","",COUNTIF(食材マスタ!$F$10:$F$309,$B17))</f>
        <v/>
      </c>
      <c r="D17" s="29" t="str">
        <f>IF($B17="","",SUMIFS(食材マスタ!$Q$10:$Q$309,食材マスタ!$F$10:$F$309,$B17))</f>
        <v/>
      </c>
      <c r="E17" s="34" t="str">
        <f t="shared" si="0"/>
        <v/>
      </c>
      <c r="F17" s="33" t="str">
        <f>IF($B17="","",COUNTIFS(食材マスタ!$F$10:$F$309,$B17,食材マスタ!$T$10:$T$309,"要発注")+COUNTIFS(食材マスタ!$F$10:$F$309,$B17,食材マスタ!$T$10:$T$309,"欠品"))</f>
        <v/>
      </c>
      <c r="G17" s="33" t="str">
        <f>IF($B17="","",COUNTIFS(食材マスタ!$F$10:$F$309,$B17,食材マスタ!$W$10:$W$309,"期限切れ")+COUNTIFS(食材マスタ!$F$10:$F$309,$B17,食材マスタ!$W$10:$W$309,"期限間近"))</f>
        <v/>
      </c>
    </row>
    <row r="18" spans="2:7">
      <c r="B18" s="32" t="str">
        <f>IF(設定!B20="","",設定!B20)</f>
        <v/>
      </c>
      <c r="C18" s="33" t="str">
        <f>IF($B18="","",COUNTIF(食材マスタ!$F$10:$F$309,$B18))</f>
        <v/>
      </c>
      <c r="D18" s="29" t="str">
        <f>IF($B18="","",SUMIFS(食材マスタ!$Q$10:$Q$309,食材マスタ!$F$10:$F$309,$B18))</f>
        <v/>
      </c>
      <c r="E18" s="34" t="str">
        <f t="shared" si="0"/>
        <v/>
      </c>
      <c r="F18" s="33" t="str">
        <f>IF($B18="","",COUNTIFS(食材マスタ!$F$10:$F$309,$B18,食材マスタ!$T$10:$T$309,"要発注")+COUNTIFS(食材マスタ!$F$10:$F$309,$B18,食材マスタ!$T$10:$T$309,"欠品"))</f>
        <v/>
      </c>
      <c r="G18" s="33" t="str">
        <f>IF($B18="","",COUNTIFS(食材マスタ!$F$10:$F$309,$B18,食材マスタ!$W$10:$W$309,"期限切れ")+COUNTIFS(食材マスタ!$F$10:$F$309,$B18,食材マスタ!$W$10:$W$309,"期限間近"))</f>
        <v/>
      </c>
    </row>
    <row r="19" spans="2:7">
      <c r="B19" s="32" t="str">
        <f>IF(設定!B21="","",設定!B21)</f>
        <v/>
      </c>
      <c r="C19" s="33" t="str">
        <f>IF($B19="","",COUNTIF(食材マスタ!$F$10:$F$309,$B19))</f>
        <v/>
      </c>
      <c r="D19" s="29" t="str">
        <f>IF($B19="","",SUMIFS(食材マスタ!$Q$10:$Q$309,食材マスタ!$F$10:$F$309,$B19))</f>
        <v/>
      </c>
      <c r="E19" s="34" t="str">
        <f t="shared" si="0"/>
        <v/>
      </c>
      <c r="F19" s="33" t="str">
        <f>IF($B19="","",COUNTIFS(食材マスタ!$F$10:$F$309,$B19,食材マスタ!$T$10:$T$309,"要発注")+COUNTIFS(食材マスタ!$F$10:$F$309,$B19,食材マスタ!$T$10:$T$309,"欠品"))</f>
        <v/>
      </c>
      <c r="G19" s="33" t="str">
        <f>IF($B19="","",COUNTIFS(食材マスタ!$F$10:$F$309,$B19,食材マスタ!$W$10:$W$309,"期限切れ")+COUNTIFS(食材マスタ!$F$10:$F$309,$B19,食材マスタ!$W$10:$W$309,"期限間近"))</f>
        <v/>
      </c>
    </row>
    <row r="20" spans="2:7">
      <c r="B20" s="32" t="str">
        <f>IF(設定!B22="","",設定!B22)</f>
        <v/>
      </c>
      <c r="C20" s="33" t="str">
        <f>IF($B20="","",COUNTIF(食材マスタ!$F$10:$F$309,$B20))</f>
        <v/>
      </c>
      <c r="D20" s="29" t="str">
        <f>IF($B20="","",SUMIFS(食材マスタ!$Q$10:$Q$309,食材マスタ!$F$10:$F$309,$B20))</f>
        <v/>
      </c>
      <c r="E20" s="34" t="str">
        <f t="shared" si="0"/>
        <v/>
      </c>
      <c r="F20" s="33" t="str">
        <f>IF($B20="","",COUNTIFS(食材マスタ!$F$10:$F$309,$B20,食材マスタ!$T$10:$T$309,"要発注")+COUNTIFS(食材マスタ!$F$10:$F$309,$B20,食材マスタ!$T$10:$T$309,"欠品"))</f>
        <v/>
      </c>
      <c r="G20" s="33" t="str">
        <f>IF($B20="","",COUNTIFS(食材マスタ!$F$10:$F$309,$B20,食材マスタ!$W$10:$W$309,"期限切れ")+COUNTIFS(食材マスタ!$F$10:$F$309,$B20,食材マスタ!$W$10:$W$309,"期限間近"))</f>
        <v/>
      </c>
    </row>
    <row r="21" spans="2:7">
      <c r="B21" s="32" t="str">
        <f>IF(設定!B23="","",設定!B23)</f>
        <v/>
      </c>
      <c r="C21" s="33" t="str">
        <f>IF($B21="","",COUNTIF(食材マスタ!$F$10:$F$309,$B21))</f>
        <v/>
      </c>
      <c r="D21" s="29" t="str">
        <f>IF($B21="","",SUMIFS(食材マスタ!$Q$10:$Q$309,食材マスタ!$F$10:$F$309,$B21))</f>
        <v/>
      </c>
      <c r="E21" s="34" t="str">
        <f t="shared" si="0"/>
        <v/>
      </c>
      <c r="F21" s="33" t="str">
        <f>IF($B21="","",COUNTIFS(食材マスタ!$F$10:$F$309,$B21,食材マスタ!$T$10:$T$309,"要発注")+COUNTIFS(食材マスタ!$F$10:$F$309,$B21,食材マスタ!$T$10:$T$309,"欠品"))</f>
        <v/>
      </c>
      <c r="G21" s="33" t="str">
        <f>IF($B21="","",COUNTIFS(食材マスタ!$F$10:$F$309,$B21,食材マスタ!$W$10:$W$309,"期限切れ")+COUNTIFS(食材マスタ!$F$10:$F$309,$B21,食材マスタ!$W$10:$W$309,"期限間近"))</f>
        <v/>
      </c>
    </row>
    <row r="22" spans="2:7">
      <c r="B22" s="32" t="str">
        <f>IF(設定!B24="","",設定!B24)</f>
        <v/>
      </c>
      <c r="C22" s="33" t="str">
        <f>IF($B22="","",COUNTIF(食材マスタ!$F$10:$F$309,$B22))</f>
        <v/>
      </c>
      <c r="D22" s="29" t="str">
        <f>IF($B22="","",SUMIFS(食材マスタ!$Q$10:$Q$309,食材マスタ!$F$10:$F$309,$B22))</f>
        <v/>
      </c>
      <c r="E22" s="34" t="str">
        <f t="shared" si="0"/>
        <v/>
      </c>
      <c r="F22" s="33" t="str">
        <f>IF($B22="","",COUNTIFS(食材マスタ!$F$10:$F$309,$B22,食材マスタ!$T$10:$T$309,"要発注")+COUNTIFS(食材マスタ!$F$10:$F$309,$B22,食材マスタ!$T$10:$T$309,"欠品"))</f>
        <v/>
      </c>
      <c r="G22" s="33" t="str">
        <f>IF($B22="","",COUNTIFS(食材マスタ!$F$10:$F$309,$B22,食材マスタ!$W$10:$W$309,"期限切れ")+COUNTIFS(食材マスタ!$F$10:$F$309,$B22,食材マスタ!$W$10:$W$309,"期限間近"))</f>
        <v/>
      </c>
    </row>
    <row r="23" spans="2:7">
      <c r="B23" s="32" t="str">
        <f>IF(設定!B25="","",設定!B25)</f>
        <v/>
      </c>
      <c r="C23" s="33" t="str">
        <f>IF($B23="","",COUNTIF(食材マスタ!$F$10:$F$309,$B23))</f>
        <v/>
      </c>
      <c r="D23" s="29" t="str">
        <f>IF($B23="","",SUMIFS(食材マスタ!$Q$10:$Q$309,食材マスタ!$F$10:$F$309,$B23))</f>
        <v/>
      </c>
      <c r="E23" s="34" t="str">
        <f t="shared" si="0"/>
        <v/>
      </c>
      <c r="F23" s="33" t="str">
        <f>IF($B23="","",COUNTIFS(食材マスタ!$F$10:$F$309,$B23,食材マスタ!$T$10:$T$309,"要発注")+COUNTIFS(食材マスタ!$F$10:$F$309,$B23,食材マスタ!$T$10:$T$309,"欠品"))</f>
        <v/>
      </c>
      <c r="G23" s="33" t="str">
        <f>IF($B23="","",COUNTIFS(食材マスタ!$F$10:$F$309,$B23,食材マスタ!$W$10:$W$309,"期限切れ")+COUNTIFS(食材マスタ!$F$10:$F$309,$B23,食材マスタ!$W$10:$W$309,"期限間近"))</f>
        <v/>
      </c>
    </row>
    <row r="24" spans="2:7">
      <c r="B24" s="32" t="str">
        <f>IF(設定!B26="","",設定!B26)</f>
        <v/>
      </c>
      <c r="C24" s="33" t="str">
        <f>IF($B24="","",COUNTIF(食材マスタ!$F$10:$F$309,$B24))</f>
        <v/>
      </c>
      <c r="D24" s="29" t="str">
        <f>IF($B24="","",SUMIFS(食材マスタ!$Q$10:$Q$309,食材マスタ!$F$10:$F$309,$B24))</f>
        <v/>
      </c>
      <c r="E24" s="34" t="str">
        <f t="shared" si="0"/>
        <v/>
      </c>
      <c r="F24" s="33" t="str">
        <f>IF($B24="","",COUNTIFS(食材マスタ!$F$10:$F$309,$B24,食材マスタ!$T$10:$T$309,"要発注")+COUNTIFS(食材マスタ!$F$10:$F$309,$B24,食材マスタ!$T$10:$T$309,"欠品"))</f>
        <v/>
      </c>
      <c r="G24" s="33" t="str">
        <f>IF($B24="","",COUNTIFS(食材マスタ!$F$10:$F$309,$B24,食材マスタ!$W$10:$W$309,"期限切れ")+COUNTIFS(食材マスタ!$F$10:$F$309,$B24,食材マスタ!$W$10:$W$309,"期限間近"))</f>
        <v/>
      </c>
    </row>
    <row r="25" spans="2:7">
      <c r="B25" s="32" t="str">
        <f>IF(設定!B27="","",設定!B27)</f>
        <v/>
      </c>
      <c r="C25" s="33" t="str">
        <f>IF($B25="","",COUNTIF(食材マスタ!$F$10:$F$309,$B25))</f>
        <v/>
      </c>
      <c r="D25" s="29" t="str">
        <f>IF($B25="","",SUMIFS(食材マスタ!$Q$10:$Q$309,食材マスタ!$F$10:$F$309,$B25))</f>
        <v/>
      </c>
      <c r="E25" s="34" t="str">
        <f t="shared" si="0"/>
        <v/>
      </c>
      <c r="F25" s="33" t="str">
        <f>IF($B25="","",COUNTIFS(食材マスタ!$F$10:$F$309,$B25,食材マスタ!$T$10:$T$309,"要発注")+COUNTIFS(食材マスタ!$F$10:$F$309,$B25,食材マスタ!$T$10:$T$309,"欠品"))</f>
        <v/>
      </c>
      <c r="G25" s="33" t="str">
        <f>IF($B25="","",COUNTIFS(食材マスタ!$F$10:$F$309,$B25,食材マスタ!$W$10:$W$309,"期限切れ")+COUNTIFS(食材マスタ!$F$10:$F$309,$B25,食材マスタ!$W$10:$W$309,"期限間近"))</f>
        <v/>
      </c>
    </row>
    <row r="26" spans="2:7">
      <c r="B26" s="35" t="s">
        <v>157</v>
      </c>
      <c r="C26" s="36">
        <f>SUM(C6:C25)</f>
        <v>9</v>
      </c>
      <c r="D26" s="37">
        <f>SUM(D6:D25)</f>
        <v>24762</v>
      </c>
      <c r="E26" s="38">
        <f>IF(D26=0,"",1)</f>
        <v>1</v>
      </c>
      <c r="F26" s="36">
        <f>SUM(F6:F25)</f>
        <v>4</v>
      </c>
      <c r="G26" s="36">
        <f ca="1">SUM(G6:G25)</f>
        <v>3</v>
      </c>
    </row>
    <row r="29" spans="2:7" ht="15.75">
      <c r="B29" s="31" t="s">
        <v>158</v>
      </c>
    </row>
    <row r="30" spans="2:7">
      <c r="B30" s="39" t="s">
        <v>159</v>
      </c>
      <c r="C30" s="40">
        <v>46113</v>
      </c>
      <c r="D30" s="41" t="s">
        <v>160</v>
      </c>
    </row>
    <row r="32" spans="2:7" ht="30" customHeight="1">
      <c r="B32" s="7" t="s">
        <v>161</v>
      </c>
      <c r="C32" s="7" t="s">
        <v>162</v>
      </c>
      <c r="D32" s="7" t="s">
        <v>163</v>
      </c>
      <c r="E32" s="7" t="s">
        <v>164</v>
      </c>
      <c r="F32" s="7" t="s">
        <v>165</v>
      </c>
      <c r="G32" s="7" t="s">
        <v>166</v>
      </c>
    </row>
    <row r="33" spans="2:7">
      <c r="B33" s="42">
        <f>EDATE($C$30,0)</f>
        <v>46113</v>
      </c>
      <c r="C33" s="29">
        <f>SUMIFS(入出庫履歴!$J$10:$J$1009,入出庫履歴!$D$10:$D$1009,"入庫",入出庫履歴!$C$10:$C$1009,"&gt;="&amp;EDATE($C$30,0),入出庫履歴!$C$10:$C$1009,"&lt;"&amp;EDATE($C$30,1))</f>
        <v>0</v>
      </c>
      <c r="D33" s="29">
        <f>SUMIFS(入出庫履歴!$J$10:$J$1009,入出庫履歴!$D$10:$D$1009,"出庫",入出庫履歴!$C$10:$C$1009,"&gt;="&amp;EDATE($C$30,0),入出庫履歴!$C$10:$C$1009,"&lt;"&amp;EDATE($C$30,1))</f>
        <v>0</v>
      </c>
      <c r="E33" s="29">
        <f>SUMIFS(入出庫履歴!$J$10:$J$1009,入出庫履歴!$D$10:$D$1009,"廃棄",入出庫履歴!$C$10:$C$1009,"&gt;="&amp;EDATE($C$30,0),入出庫履歴!$C$10:$C$1009,"&lt;"&amp;EDATE($C$30,1))</f>
        <v>0</v>
      </c>
      <c r="F33" s="33">
        <f>COUNTIFS(入出庫履歴!$D$10:$D$1009,"廃棄",入出庫履歴!$C$10:$C$1009,"&gt;="&amp;EDATE($C$30,0),入出庫履歴!$C$10:$C$1009,"&lt;"&amp;EDATE($C$30,1))</f>
        <v>0</v>
      </c>
      <c r="G33" s="34" t="str">
        <f t="shared" ref="G33:G45" si="1">IF(D33+E33=0,"",E33/(D33+E33))</f>
        <v/>
      </c>
    </row>
    <row r="34" spans="2:7">
      <c r="B34" s="42">
        <f>EDATE($C$30,1)</f>
        <v>46143</v>
      </c>
      <c r="C34" s="29">
        <f>SUMIFS(入出庫履歴!$J$10:$J$1009,入出庫履歴!$D$10:$D$1009,"入庫",入出庫履歴!$C$10:$C$1009,"&gt;="&amp;EDATE($C$30,1),入出庫履歴!$C$10:$C$1009,"&lt;"&amp;EDATE($C$30,2))</f>
        <v>0</v>
      </c>
      <c r="D34" s="29">
        <f>SUMIFS(入出庫履歴!$J$10:$J$1009,入出庫履歴!$D$10:$D$1009,"出庫",入出庫履歴!$C$10:$C$1009,"&gt;="&amp;EDATE($C$30,1),入出庫履歴!$C$10:$C$1009,"&lt;"&amp;EDATE($C$30,2))</f>
        <v>0</v>
      </c>
      <c r="E34" s="29">
        <f>SUMIFS(入出庫履歴!$J$10:$J$1009,入出庫履歴!$D$10:$D$1009,"廃棄",入出庫履歴!$C$10:$C$1009,"&gt;="&amp;EDATE($C$30,1),入出庫履歴!$C$10:$C$1009,"&lt;"&amp;EDATE($C$30,2))</f>
        <v>0</v>
      </c>
      <c r="F34" s="33">
        <f>COUNTIFS(入出庫履歴!$D$10:$D$1009,"廃棄",入出庫履歴!$C$10:$C$1009,"&gt;="&amp;EDATE($C$30,1),入出庫履歴!$C$10:$C$1009,"&lt;"&amp;EDATE($C$30,2))</f>
        <v>0</v>
      </c>
      <c r="G34" s="34" t="str">
        <f t="shared" si="1"/>
        <v/>
      </c>
    </row>
    <row r="35" spans="2:7">
      <c r="B35" s="42">
        <f>EDATE($C$30,2)</f>
        <v>46174</v>
      </c>
      <c r="C35" s="29">
        <f>SUMIFS(入出庫履歴!$J$10:$J$1009,入出庫履歴!$D$10:$D$1009,"入庫",入出庫履歴!$C$10:$C$1009,"&gt;="&amp;EDATE($C$30,2),入出庫履歴!$C$10:$C$1009,"&lt;"&amp;EDATE($C$30,3))</f>
        <v>0</v>
      </c>
      <c r="D35" s="29">
        <f>SUMIFS(入出庫履歴!$J$10:$J$1009,入出庫履歴!$D$10:$D$1009,"出庫",入出庫履歴!$C$10:$C$1009,"&gt;="&amp;EDATE($C$30,2),入出庫履歴!$C$10:$C$1009,"&lt;"&amp;EDATE($C$30,3))</f>
        <v>0</v>
      </c>
      <c r="E35" s="29">
        <f>SUMIFS(入出庫履歴!$J$10:$J$1009,入出庫履歴!$D$10:$D$1009,"廃棄",入出庫履歴!$C$10:$C$1009,"&gt;="&amp;EDATE($C$30,2),入出庫履歴!$C$10:$C$1009,"&lt;"&amp;EDATE($C$30,3))</f>
        <v>0</v>
      </c>
      <c r="F35" s="33">
        <f>COUNTIFS(入出庫履歴!$D$10:$D$1009,"廃棄",入出庫履歴!$C$10:$C$1009,"&gt;="&amp;EDATE($C$30,2),入出庫履歴!$C$10:$C$1009,"&lt;"&amp;EDATE($C$30,3))</f>
        <v>0</v>
      </c>
      <c r="G35" s="34" t="str">
        <f t="shared" si="1"/>
        <v/>
      </c>
    </row>
    <row r="36" spans="2:7">
      <c r="B36" s="42">
        <f>EDATE($C$30,3)</f>
        <v>46204</v>
      </c>
      <c r="C36" s="29">
        <f>SUMIFS(入出庫履歴!$J$10:$J$1009,入出庫履歴!$D$10:$D$1009,"入庫",入出庫履歴!$C$10:$C$1009,"&gt;="&amp;EDATE($C$30,3),入出庫履歴!$C$10:$C$1009,"&lt;"&amp;EDATE($C$30,4))</f>
        <v>0</v>
      </c>
      <c r="D36" s="29">
        <f>SUMIFS(入出庫履歴!$J$10:$J$1009,入出庫履歴!$D$10:$D$1009,"出庫",入出庫履歴!$C$10:$C$1009,"&gt;="&amp;EDATE($C$30,3),入出庫履歴!$C$10:$C$1009,"&lt;"&amp;EDATE($C$30,4))</f>
        <v>0</v>
      </c>
      <c r="E36" s="29">
        <f>SUMIFS(入出庫履歴!$J$10:$J$1009,入出庫履歴!$D$10:$D$1009,"廃棄",入出庫履歴!$C$10:$C$1009,"&gt;="&amp;EDATE($C$30,3),入出庫履歴!$C$10:$C$1009,"&lt;"&amp;EDATE($C$30,4))</f>
        <v>0</v>
      </c>
      <c r="F36" s="33">
        <f>COUNTIFS(入出庫履歴!$D$10:$D$1009,"廃棄",入出庫履歴!$C$10:$C$1009,"&gt;="&amp;EDATE($C$30,3),入出庫履歴!$C$10:$C$1009,"&lt;"&amp;EDATE($C$30,4))</f>
        <v>0</v>
      </c>
      <c r="G36" s="34" t="str">
        <f t="shared" si="1"/>
        <v/>
      </c>
    </row>
    <row r="37" spans="2:7">
      <c r="B37" s="42">
        <f>EDATE($C$30,4)</f>
        <v>46235</v>
      </c>
      <c r="C37" s="29">
        <f>SUMIFS(入出庫履歴!$J$10:$J$1009,入出庫履歴!$D$10:$D$1009,"入庫",入出庫履歴!$C$10:$C$1009,"&gt;="&amp;EDATE($C$30,4),入出庫履歴!$C$10:$C$1009,"&lt;"&amp;EDATE($C$30,5))</f>
        <v>0</v>
      </c>
      <c r="D37" s="29">
        <f>SUMIFS(入出庫履歴!$J$10:$J$1009,入出庫履歴!$D$10:$D$1009,"出庫",入出庫履歴!$C$10:$C$1009,"&gt;="&amp;EDATE($C$30,4),入出庫履歴!$C$10:$C$1009,"&lt;"&amp;EDATE($C$30,5))</f>
        <v>0</v>
      </c>
      <c r="E37" s="29">
        <f>SUMIFS(入出庫履歴!$J$10:$J$1009,入出庫履歴!$D$10:$D$1009,"廃棄",入出庫履歴!$C$10:$C$1009,"&gt;="&amp;EDATE($C$30,4),入出庫履歴!$C$10:$C$1009,"&lt;"&amp;EDATE($C$30,5))</f>
        <v>0</v>
      </c>
      <c r="F37" s="33">
        <f>COUNTIFS(入出庫履歴!$D$10:$D$1009,"廃棄",入出庫履歴!$C$10:$C$1009,"&gt;="&amp;EDATE($C$30,4),入出庫履歴!$C$10:$C$1009,"&lt;"&amp;EDATE($C$30,5))</f>
        <v>0</v>
      </c>
      <c r="G37" s="34" t="str">
        <f t="shared" si="1"/>
        <v/>
      </c>
    </row>
    <row r="38" spans="2:7">
      <c r="B38" s="42">
        <f>EDATE($C$30,5)</f>
        <v>46266</v>
      </c>
      <c r="C38" s="29">
        <f>SUMIFS(入出庫履歴!$J$10:$J$1009,入出庫履歴!$D$10:$D$1009,"入庫",入出庫履歴!$C$10:$C$1009,"&gt;="&amp;EDATE($C$30,5),入出庫履歴!$C$10:$C$1009,"&lt;"&amp;EDATE($C$30,6))</f>
        <v>0</v>
      </c>
      <c r="D38" s="29">
        <f>SUMIFS(入出庫履歴!$J$10:$J$1009,入出庫履歴!$D$10:$D$1009,"出庫",入出庫履歴!$C$10:$C$1009,"&gt;="&amp;EDATE($C$30,5),入出庫履歴!$C$10:$C$1009,"&lt;"&amp;EDATE($C$30,6))</f>
        <v>0</v>
      </c>
      <c r="E38" s="29">
        <f>SUMIFS(入出庫履歴!$J$10:$J$1009,入出庫履歴!$D$10:$D$1009,"廃棄",入出庫履歴!$C$10:$C$1009,"&gt;="&amp;EDATE($C$30,5),入出庫履歴!$C$10:$C$1009,"&lt;"&amp;EDATE($C$30,6))</f>
        <v>0</v>
      </c>
      <c r="F38" s="33">
        <f>COUNTIFS(入出庫履歴!$D$10:$D$1009,"廃棄",入出庫履歴!$C$10:$C$1009,"&gt;="&amp;EDATE($C$30,5),入出庫履歴!$C$10:$C$1009,"&lt;"&amp;EDATE($C$30,6))</f>
        <v>0</v>
      </c>
      <c r="G38" s="34" t="str">
        <f t="shared" si="1"/>
        <v/>
      </c>
    </row>
    <row r="39" spans="2:7">
      <c r="B39" s="42">
        <f>EDATE($C$30,6)</f>
        <v>46296</v>
      </c>
      <c r="C39" s="29">
        <f>SUMIFS(入出庫履歴!$J$10:$J$1009,入出庫履歴!$D$10:$D$1009,"入庫",入出庫履歴!$C$10:$C$1009,"&gt;="&amp;EDATE($C$30,6),入出庫履歴!$C$10:$C$1009,"&lt;"&amp;EDATE($C$30,7))</f>
        <v>56480</v>
      </c>
      <c r="D39" s="29">
        <f>SUMIFS(入出庫履歴!$J$10:$J$1009,入出庫履歴!$D$10:$D$1009,"出庫",入出庫履歴!$C$10:$C$1009,"&gt;="&amp;EDATE($C$30,6),入出庫履歴!$C$10:$C$1009,"&lt;"&amp;EDATE($C$30,7))</f>
        <v>31538</v>
      </c>
      <c r="E39" s="29">
        <f>SUMIFS(入出庫履歴!$J$10:$J$1009,入出庫履歴!$D$10:$D$1009,"廃棄",入出庫履歴!$C$10:$C$1009,"&gt;="&amp;EDATE($C$30,6),入出庫履歴!$C$10:$C$1009,"&lt;"&amp;EDATE($C$30,7))</f>
        <v>180</v>
      </c>
      <c r="F39" s="33">
        <f>COUNTIFS(入出庫履歴!$D$10:$D$1009,"廃棄",入出庫履歴!$C$10:$C$1009,"&gt;="&amp;EDATE($C$30,6),入出庫履歴!$C$10:$C$1009,"&lt;"&amp;EDATE($C$30,7))</f>
        <v>1</v>
      </c>
      <c r="G39" s="34">
        <f t="shared" si="1"/>
        <v>5.6750110347436791E-3</v>
      </c>
    </row>
    <row r="40" spans="2:7">
      <c r="B40" s="42">
        <f>EDATE($C$30,7)</f>
        <v>46327</v>
      </c>
      <c r="C40" s="29">
        <f>SUMIFS(入出庫履歴!$J$10:$J$1009,入出庫履歴!$D$10:$D$1009,"入庫",入出庫履歴!$C$10:$C$1009,"&gt;="&amp;EDATE($C$30,7),入出庫履歴!$C$10:$C$1009,"&lt;"&amp;EDATE($C$30,8))</f>
        <v>0</v>
      </c>
      <c r="D40" s="29">
        <f>SUMIFS(入出庫履歴!$J$10:$J$1009,入出庫履歴!$D$10:$D$1009,"出庫",入出庫履歴!$C$10:$C$1009,"&gt;="&amp;EDATE($C$30,7),入出庫履歴!$C$10:$C$1009,"&lt;"&amp;EDATE($C$30,8))</f>
        <v>0</v>
      </c>
      <c r="E40" s="29">
        <f>SUMIFS(入出庫履歴!$J$10:$J$1009,入出庫履歴!$D$10:$D$1009,"廃棄",入出庫履歴!$C$10:$C$1009,"&gt;="&amp;EDATE($C$30,7),入出庫履歴!$C$10:$C$1009,"&lt;"&amp;EDATE($C$30,8))</f>
        <v>0</v>
      </c>
      <c r="F40" s="33">
        <f>COUNTIFS(入出庫履歴!$D$10:$D$1009,"廃棄",入出庫履歴!$C$10:$C$1009,"&gt;="&amp;EDATE($C$30,7),入出庫履歴!$C$10:$C$1009,"&lt;"&amp;EDATE($C$30,8))</f>
        <v>0</v>
      </c>
      <c r="G40" s="34" t="str">
        <f t="shared" si="1"/>
        <v/>
      </c>
    </row>
    <row r="41" spans="2:7">
      <c r="B41" s="42">
        <f>EDATE($C$30,8)</f>
        <v>46357</v>
      </c>
      <c r="C41" s="29">
        <f>SUMIFS(入出庫履歴!$J$10:$J$1009,入出庫履歴!$D$10:$D$1009,"入庫",入出庫履歴!$C$10:$C$1009,"&gt;="&amp;EDATE($C$30,8),入出庫履歴!$C$10:$C$1009,"&lt;"&amp;EDATE($C$30,9))</f>
        <v>0</v>
      </c>
      <c r="D41" s="29">
        <f>SUMIFS(入出庫履歴!$J$10:$J$1009,入出庫履歴!$D$10:$D$1009,"出庫",入出庫履歴!$C$10:$C$1009,"&gt;="&amp;EDATE($C$30,8),入出庫履歴!$C$10:$C$1009,"&lt;"&amp;EDATE($C$30,9))</f>
        <v>0</v>
      </c>
      <c r="E41" s="29">
        <f>SUMIFS(入出庫履歴!$J$10:$J$1009,入出庫履歴!$D$10:$D$1009,"廃棄",入出庫履歴!$C$10:$C$1009,"&gt;="&amp;EDATE($C$30,8),入出庫履歴!$C$10:$C$1009,"&lt;"&amp;EDATE($C$30,9))</f>
        <v>0</v>
      </c>
      <c r="F41" s="33">
        <f>COUNTIFS(入出庫履歴!$D$10:$D$1009,"廃棄",入出庫履歴!$C$10:$C$1009,"&gt;="&amp;EDATE($C$30,8),入出庫履歴!$C$10:$C$1009,"&lt;"&amp;EDATE($C$30,9))</f>
        <v>0</v>
      </c>
      <c r="G41" s="34" t="str">
        <f t="shared" si="1"/>
        <v/>
      </c>
    </row>
    <row r="42" spans="2:7">
      <c r="B42" s="42">
        <f>EDATE($C$30,9)</f>
        <v>46388</v>
      </c>
      <c r="C42" s="29">
        <f>SUMIFS(入出庫履歴!$J$10:$J$1009,入出庫履歴!$D$10:$D$1009,"入庫",入出庫履歴!$C$10:$C$1009,"&gt;="&amp;EDATE($C$30,9),入出庫履歴!$C$10:$C$1009,"&lt;"&amp;EDATE($C$30,10))</f>
        <v>0</v>
      </c>
      <c r="D42" s="29">
        <f>SUMIFS(入出庫履歴!$J$10:$J$1009,入出庫履歴!$D$10:$D$1009,"出庫",入出庫履歴!$C$10:$C$1009,"&gt;="&amp;EDATE($C$30,9),入出庫履歴!$C$10:$C$1009,"&lt;"&amp;EDATE($C$30,10))</f>
        <v>0</v>
      </c>
      <c r="E42" s="29">
        <f>SUMIFS(入出庫履歴!$J$10:$J$1009,入出庫履歴!$D$10:$D$1009,"廃棄",入出庫履歴!$C$10:$C$1009,"&gt;="&amp;EDATE($C$30,9),入出庫履歴!$C$10:$C$1009,"&lt;"&amp;EDATE($C$30,10))</f>
        <v>0</v>
      </c>
      <c r="F42" s="33">
        <f>COUNTIFS(入出庫履歴!$D$10:$D$1009,"廃棄",入出庫履歴!$C$10:$C$1009,"&gt;="&amp;EDATE($C$30,9),入出庫履歴!$C$10:$C$1009,"&lt;"&amp;EDATE($C$30,10))</f>
        <v>0</v>
      </c>
      <c r="G42" s="34" t="str">
        <f t="shared" si="1"/>
        <v/>
      </c>
    </row>
    <row r="43" spans="2:7">
      <c r="B43" s="42">
        <f>EDATE($C$30,10)</f>
        <v>46419</v>
      </c>
      <c r="C43" s="29">
        <f>SUMIFS(入出庫履歴!$J$10:$J$1009,入出庫履歴!$D$10:$D$1009,"入庫",入出庫履歴!$C$10:$C$1009,"&gt;="&amp;EDATE($C$30,10),入出庫履歴!$C$10:$C$1009,"&lt;"&amp;EDATE($C$30,11))</f>
        <v>0</v>
      </c>
      <c r="D43" s="29">
        <f>SUMIFS(入出庫履歴!$J$10:$J$1009,入出庫履歴!$D$10:$D$1009,"出庫",入出庫履歴!$C$10:$C$1009,"&gt;="&amp;EDATE($C$30,10),入出庫履歴!$C$10:$C$1009,"&lt;"&amp;EDATE($C$30,11))</f>
        <v>0</v>
      </c>
      <c r="E43" s="29">
        <f>SUMIFS(入出庫履歴!$J$10:$J$1009,入出庫履歴!$D$10:$D$1009,"廃棄",入出庫履歴!$C$10:$C$1009,"&gt;="&amp;EDATE($C$30,10),入出庫履歴!$C$10:$C$1009,"&lt;"&amp;EDATE($C$30,11))</f>
        <v>0</v>
      </c>
      <c r="F43" s="33">
        <f>COUNTIFS(入出庫履歴!$D$10:$D$1009,"廃棄",入出庫履歴!$C$10:$C$1009,"&gt;="&amp;EDATE($C$30,10),入出庫履歴!$C$10:$C$1009,"&lt;"&amp;EDATE($C$30,11))</f>
        <v>0</v>
      </c>
      <c r="G43" s="34" t="str">
        <f t="shared" si="1"/>
        <v/>
      </c>
    </row>
    <row r="44" spans="2:7">
      <c r="B44" s="42">
        <f>EDATE($C$30,11)</f>
        <v>46447</v>
      </c>
      <c r="C44" s="29">
        <f>SUMIFS(入出庫履歴!$J$10:$J$1009,入出庫履歴!$D$10:$D$1009,"入庫",入出庫履歴!$C$10:$C$1009,"&gt;="&amp;EDATE($C$30,11),入出庫履歴!$C$10:$C$1009,"&lt;"&amp;EDATE($C$30,12))</f>
        <v>0</v>
      </c>
      <c r="D44" s="29">
        <f>SUMIFS(入出庫履歴!$J$10:$J$1009,入出庫履歴!$D$10:$D$1009,"出庫",入出庫履歴!$C$10:$C$1009,"&gt;="&amp;EDATE($C$30,11),入出庫履歴!$C$10:$C$1009,"&lt;"&amp;EDATE($C$30,12))</f>
        <v>0</v>
      </c>
      <c r="E44" s="29">
        <f>SUMIFS(入出庫履歴!$J$10:$J$1009,入出庫履歴!$D$10:$D$1009,"廃棄",入出庫履歴!$C$10:$C$1009,"&gt;="&amp;EDATE($C$30,11),入出庫履歴!$C$10:$C$1009,"&lt;"&amp;EDATE($C$30,12))</f>
        <v>0</v>
      </c>
      <c r="F44" s="33">
        <f>COUNTIFS(入出庫履歴!$D$10:$D$1009,"廃棄",入出庫履歴!$C$10:$C$1009,"&gt;="&amp;EDATE($C$30,11),入出庫履歴!$C$10:$C$1009,"&lt;"&amp;EDATE($C$30,12))</f>
        <v>0</v>
      </c>
      <c r="G44" s="34" t="str">
        <f t="shared" si="1"/>
        <v/>
      </c>
    </row>
    <row r="45" spans="2:7">
      <c r="B45" s="43" t="s">
        <v>157</v>
      </c>
      <c r="C45" s="37">
        <f>SUM(C33:C44)</f>
        <v>56480</v>
      </c>
      <c r="D45" s="37">
        <f>SUM(D33:D44)</f>
        <v>31538</v>
      </c>
      <c r="E45" s="37">
        <f>SUM(E33:E44)</f>
        <v>180</v>
      </c>
      <c r="F45" s="36">
        <f>SUM(F33:F44)</f>
        <v>1</v>
      </c>
      <c r="G45" s="38">
        <f t="shared" si="1"/>
        <v>5.6750110347436791E-3</v>
      </c>
    </row>
  </sheetData>
  <phoneticPr fontId="17"/>
  <conditionalFormatting sqref="E33:E45">
    <cfRule type="expression" dxfId="0" priority="2">
      <formula>E33&gt;0</formula>
    </cfRule>
  </conditionalFormatting>
  <hyperlinks>
    <hyperlink ref="A1" r:id="rId1" display="テンプレート倉庫" xr:uid="{5E8A0BF4-F864-49C0-B383-738ECC83D5D3}"/>
  </hyperlinks>
  <pageMargins left="0.62992125984251968" right="0.39370078740157483" top="0.47244094488188981" bottom="0.23622047244094491" header="0.39370078740157483" footer="0.15748031496062992"/>
  <pageSetup paperSize="9" scale="97" fitToHeight="0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AI27"/>
  <sheetViews>
    <sheetView showGridLines="0" topLeftCell="A2" zoomScaleNormal="100" workbookViewId="0">
      <selection activeCell="AD45" sqref="AD45"/>
    </sheetView>
  </sheetViews>
  <sheetFormatPr defaultColWidth="8.7109375" defaultRowHeight="15"/>
  <cols>
    <col min="1" max="1" width="2" customWidth="1"/>
    <col min="2" max="2" width="16" customWidth="1"/>
    <col min="3" max="3" width="8" customWidth="1"/>
    <col min="4" max="4" width="10" customWidth="1"/>
    <col min="5" max="5" width="3" customWidth="1"/>
    <col min="6" max="6" width="8" customWidth="1"/>
    <col min="7" max="7" width="3" customWidth="1"/>
    <col min="8" max="8" width="12" customWidth="1"/>
    <col min="9" max="9" width="3" customWidth="1"/>
    <col min="10" max="10" width="10" customWidth="1"/>
    <col min="11" max="11" width="3" customWidth="1"/>
    <col min="12" max="12" width="14" customWidth="1"/>
  </cols>
  <sheetData>
    <row r="1" spans="1:35" s="53" customFormat="1" ht="45" customHeight="1">
      <c r="A1" s="52" t="s">
        <v>181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</row>
    <row r="2" spans="1:35" ht="20.25">
      <c r="B2" s="30" t="s">
        <v>167</v>
      </c>
    </row>
    <row r="4" spans="1:35">
      <c r="B4" s="44" t="s">
        <v>168</v>
      </c>
      <c r="C4" s="45">
        <v>3</v>
      </c>
      <c r="D4" s="41" t="s">
        <v>169</v>
      </c>
    </row>
    <row r="5" spans="1:35">
      <c r="B5" s="41" t="s">
        <v>170</v>
      </c>
    </row>
    <row r="7" spans="1:35" ht="24">
      <c r="B7" s="7" t="s">
        <v>12</v>
      </c>
      <c r="D7" s="7" t="s">
        <v>13</v>
      </c>
      <c r="F7" s="7" t="s">
        <v>14</v>
      </c>
      <c r="H7" s="7" t="s">
        <v>15</v>
      </c>
      <c r="J7" s="7" t="s">
        <v>109</v>
      </c>
      <c r="L7" s="7" t="s">
        <v>171</v>
      </c>
    </row>
    <row r="8" spans="1:35">
      <c r="B8" s="46" t="s">
        <v>35</v>
      </c>
      <c r="D8" s="46" t="s">
        <v>53</v>
      </c>
      <c r="F8" s="47" t="s">
        <v>37</v>
      </c>
      <c r="H8" s="46" t="s">
        <v>38</v>
      </c>
      <c r="J8" s="46" t="s">
        <v>115</v>
      </c>
      <c r="L8" s="48" t="s">
        <v>111</v>
      </c>
    </row>
    <row r="9" spans="1:35">
      <c r="B9" s="46" t="s">
        <v>44</v>
      </c>
      <c r="D9" s="46" t="s">
        <v>36</v>
      </c>
      <c r="F9" s="47" t="s">
        <v>172</v>
      </c>
      <c r="H9" s="46" t="s">
        <v>60</v>
      </c>
      <c r="J9" s="46" t="s">
        <v>121</v>
      </c>
      <c r="L9" s="48" t="s">
        <v>113</v>
      </c>
    </row>
    <row r="10" spans="1:35">
      <c r="B10" s="46" t="s">
        <v>52</v>
      </c>
      <c r="D10" s="46" t="s">
        <v>45</v>
      </c>
      <c r="F10" s="47" t="s">
        <v>173</v>
      </c>
      <c r="H10" s="46" t="s">
        <v>46</v>
      </c>
      <c r="J10" s="46" t="s">
        <v>112</v>
      </c>
      <c r="L10" s="48" t="s">
        <v>123</v>
      </c>
    </row>
    <row r="11" spans="1:35">
      <c r="B11" s="46" t="s">
        <v>64</v>
      </c>
      <c r="D11" s="47"/>
      <c r="F11" s="47" t="s">
        <v>174</v>
      </c>
      <c r="H11" s="46" t="s">
        <v>54</v>
      </c>
      <c r="J11" s="46" t="s">
        <v>127</v>
      </c>
      <c r="L11" s="48" t="s">
        <v>21</v>
      </c>
    </row>
    <row r="12" spans="1:35">
      <c r="B12" s="46" t="s">
        <v>77</v>
      </c>
      <c r="D12" s="47"/>
      <c r="F12" s="46" t="s">
        <v>59</v>
      </c>
      <c r="H12" s="46" t="s">
        <v>78</v>
      </c>
      <c r="J12" s="46" t="s">
        <v>132</v>
      </c>
    </row>
    <row r="13" spans="1:35">
      <c r="B13" s="46" t="s">
        <v>84</v>
      </c>
      <c r="D13" s="47"/>
      <c r="F13" s="46" t="s">
        <v>65</v>
      </c>
      <c r="H13" s="46" t="s">
        <v>92</v>
      </c>
      <c r="J13" s="47"/>
    </row>
    <row r="14" spans="1:35">
      <c r="B14" s="46" t="s">
        <v>175</v>
      </c>
      <c r="D14" s="47"/>
      <c r="F14" s="46" t="s">
        <v>85</v>
      </c>
      <c r="H14" s="47"/>
      <c r="J14" s="47"/>
    </row>
    <row r="15" spans="1:35">
      <c r="B15" s="46" t="s">
        <v>176</v>
      </c>
      <c r="D15" s="47"/>
      <c r="F15" s="46" t="s">
        <v>71</v>
      </c>
      <c r="H15" s="47"/>
      <c r="J15" s="47"/>
    </row>
    <row r="16" spans="1:35">
      <c r="B16" s="46" t="s">
        <v>91</v>
      </c>
      <c r="D16" s="47"/>
      <c r="F16" s="46" t="s">
        <v>177</v>
      </c>
      <c r="H16" s="47"/>
      <c r="J16" s="47"/>
    </row>
    <row r="17" spans="2:10">
      <c r="B17" s="47"/>
      <c r="D17" s="47"/>
      <c r="F17" s="46" t="s">
        <v>178</v>
      </c>
      <c r="H17" s="47"/>
      <c r="J17" s="47"/>
    </row>
    <row r="18" spans="2:10">
      <c r="B18" s="47"/>
      <c r="D18" s="47"/>
      <c r="F18" s="46" t="s">
        <v>179</v>
      </c>
      <c r="H18" s="47"/>
      <c r="J18" s="47"/>
    </row>
    <row r="19" spans="2:10">
      <c r="B19" s="47"/>
      <c r="D19" s="47"/>
      <c r="F19" s="47"/>
      <c r="H19" s="47"/>
      <c r="J19" s="47"/>
    </row>
    <row r="20" spans="2:10">
      <c r="B20" s="47"/>
      <c r="D20" s="47"/>
      <c r="F20" s="47"/>
      <c r="H20" s="47"/>
      <c r="J20" s="47"/>
    </row>
    <row r="21" spans="2:10">
      <c r="B21" s="47"/>
      <c r="D21" s="47"/>
      <c r="F21" s="47"/>
      <c r="H21" s="47"/>
      <c r="J21" s="47"/>
    </row>
    <row r="22" spans="2:10">
      <c r="B22" s="47"/>
      <c r="D22" s="47"/>
      <c r="F22" s="47"/>
      <c r="H22" s="47"/>
      <c r="J22" s="47"/>
    </row>
    <row r="23" spans="2:10">
      <c r="B23" s="47"/>
      <c r="D23" s="47"/>
      <c r="F23" s="47"/>
      <c r="H23" s="47"/>
      <c r="J23" s="47"/>
    </row>
    <row r="24" spans="2:10">
      <c r="B24" s="47"/>
      <c r="D24" s="47"/>
      <c r="F24" s="47"/>
      <c r="H24" s="47"/>
      <c r="J24" s="47"/>
    </row>
    <row r="25" spans="2:10">
      <c r="B25" s="47"/>
      <c r="D25" s="47"/>
      <c r="F25" s="47"/>
      <c r="H25" s="47"/>
      <c r="J25" s="47"/>
    </row>
    <row r="26" spans="2:10">
      <c r="B26" s="47"/>
      <c r="D26" s="47"/>
      <c r="F26" s="47"/>
      <c r="H26" s="47"/>
      <c r="J26" s="47"/>
    </row>
    <row r="27" spans="2:10">
      <c r="B27" s="47"/>
      <c r="D27" s="47"/>
      <c r="F27" s="47"/>
      <c r="H27" s="47"/>
      <c r="J27" s="47"/>
    </row>
  </sheetData>
  <phoneticPr fontId="17"/>
  <hyperlinks>
    <hyperlink ref="A1" r:id="rId1" display="テンプレート倉庫" xr:uid="{4C40FC4E-E7EF-4C66-89CC-4E5DF052665B}"/>
  </hyperlinks>
  <pageMargins left="0.62992125984251968" right="0.39370078740157483" top="0.47244094488188981" bottom="0.23622047244094491" header="0.39370078740157483" footer="0.15748031496062992"/>
  <pageSetup paperSize="9" fitToHeight="0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18</vt:i4>
      </vt:variant>
    </vt:vector>
  </HeadingPairs>
  <TitlesOfParts>
    <vt:vector size="24" baseType="lpstr">
      <vt:lpstr>食材マスタ</vt:lpstr>
      <vt:lpstr>入出庫履歴</vt:lpstr>
      <vt:lpstr>期限チェック</vt:lpstr>
      <vt:lpstr>発注リスト</vt:lpstr>
      <vt:lpstr>集計</vt:lpstr>
      <vt:lpstr>設定</vt:lpstr>
      <vt:lpstr>期限チェック!Print_Area</vt:lpstr>
      <vt:lpstr>集計!Print_Area</vt:lpstr>
      <vt:lpstr>食材マスタ!Print_Area</vt:lpstr>
      <vt:lpstr>設定!Print_Area</vt:lpstr>
      <vt:lpstr>入出庫履歴!Print_Area</vt:lpstr>
      <vt:lpstr>発注リスト!Print_Area</vt:lpstr>
      <vt:lpstr>期限チェック!Print_Titles</vt:lpstr>
      <vt:lpstr>食材マスタ!Print_Titles</vt:lpstr>
      <vt:lpstr>入出庫履歴!Print_Titles</vt:lpstr>
      <vt:lpstr>発注リスト!Print_Titles</vt:lpstr>
      <vt:lpstr>ロットリスト</vt:lpstr>
      <vt:lpstr>区分リスト</vt:lpstr>
      <vt:lpstr>食材コードリスト</vt:lpstr>
      <vt:lpstr>単位リスト</vt:lpstr>
      <vt:lpstr>担当者リスト</vt:lpstr>
      <vt:lpstr>分類リスト</vt:lpstr>
      <vt:lpstr>保管場所リスト</vt:lpstr>
      <vt:lpstr>保存区分リスト</vt:lpstr>
    </vt:vector>
  </TitlesOfParts>
  <Manager>テンプレート倉庫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無料テンプレート・ワードテンプレート・エクセルテンプレートのテンプレート倉庫</dc:title>
  <dc:subject/>
  <dc:creator>inbl</dc:creator>
  <dc:description/>
  <cp:lastModifiedBy>inbl</cp:lastModifiedBy>
  <cp:revision>0</cp:revision>
  <cp:lastPrinted>2026-10-31T08:26:53Z</cp:lastPrinted>
  <dcterms:created xsi:type="dcterms:W3CDTF">2026-10-31T03:51:07Z</dcterms:created>
  <dcterms:modified xsi:type="dcterms:W3CDTF">2026-10-31T08:28:51Z</dcterms:modified>
  <dc:language>en-US</dc:language>
</cp:coreProperties>
</file>