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StarServer\template-soko\20241217\business\down\"/>
    </mc:Choice>
  </mc:AlternateContent>
  <xr:revisionPtr revIDLastSave="0" documentId="13_ncr:1_{DD88FF8A-A3F5-431A-ACBB-A9D2E657AEA9}" xr6:coauthVersionLast="47" xr6:coauthVersionMax="47" xr10:uidLastSave="{00000000-0000-0000-0000-000000000000}"/>
  <bookViews>
    <workbookView xWindow="1950" yWindow="1950" windowWidth="25320" windowHeight="11505" tabRatio="500" xr2:uid="{00000000-000D-0000-FFFF-FFFF00000000}"/>
  </bookViews>
  <sheets>
    <sheet name="見積台帳" sheetId="1" r:id="rId1"/>
    <sheet name="集計" sheetId="2" r:id="rId2"/>
    <sheet name="設定" sheetId="3" r:id="rId3"/>
  </sheets>
  <definedNames>
    <definedName name="_xlnm._FilterDatabase" localSheetId="0" hidden="1">見積台帳!$B$9:$P$209</definedName>
    <definedName name="_xlnm.Print_Area" localSheetId="0">見積台帳!$B$3:$P$209</definedName>
    <definedName name="_xlnm.Print_Area" localSheetId="1">集計!$B$3:$H$39</definedName>
    <definedName name="_xlnm.Print_Titles" localSheetId="0">見積台帳!$9:$9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9" i="2" l="1"/>
  <c r="C39" i="2"/>
  <c r="B39" i="2"/>
  <c r="F39" i="2" s="1"/>
  <c r="B38" i="2"/>
  <c r="F38" i="2" s="1"/>
  <c r="B37" i="2"/>
  <c r="F37" i="2" s="1"/>
  <c r="E36" i="2"/>
  <c r="B36" i="2"/>
  <c r="F36" i="2" s="1"/>
  <c r="B35" i="2"/>
  <c r="F35" i="2" s="1"/>
  <c r="B34" i="2"/>
  <c r="F34" i="2" s="1"/>
  <c r="B33" i="2"/>
  <c r="F33" i="2" s="1"/>
  <c r="H32" i="2"/>
  <c r="E32" i="2"/>
  <c r="D32" i="2"/>
  <c r="C32" i="2"/>
  <c r="B32" i="2"/>
  <c r="F32" i="2" s="1"/>
  <c r="G31" i="2"/>
  <c r="B31" i="2"/>
  <c r="F31" i="2" s="1"/>
  <c r="G30" i="2"/>
  <c r="C30" i="2"/>
  <c r="B30" i="2"/>
  <c r="F30" i="2" s="1"/>
  <c r="B29" i="2"/>
  <c r="F29" i="2" s="1"/>
  <c r="H28" i="2"/>
  <c r="D28" i="2"/>
  <c r="C28" i="2"/>
  <c r="B28" i="2"/>
  <c r="F28" i="2" s="1"/>
  <c r="B27" i="2"/>
  <c r="F27" i="2" s="1"/>
  <c r="B26" i="2"/>
  <c r="E26" i="2" s="1"/>
  <c r="E25" i="2"/>
  <c r="D25" i="2"/>
  <c r="B25" i="2"/>
  <c r="G25" i="2" s="1"/>
  <c r="G20" i="2"/>
  <c r="H19" i="2"/>
  <c r="G19" i="2"/>
  <c r="F19" i="2"/>
  <c r="E19" i="2"/>
  <c r="D19" i="2"/>
  <c r="C19" i="2"/>
  <c r="B19" i="2"/>
  <c r="H18" i="2"/>
  <c r="G18" i="2"/>
  <c r="F18" i="2"/>
  <c r="E18" i="2"/>
  <c r="D18" i="2"/>
  <c r="C18" i="2"/>
  <c r="B18" i="2"/>
  <c r="H17" i="2"/>
  <c r="G17" i="2"/>
  <c r="F17" i="2"/>
  <c r="E17" i="2"/>
  <c r="D17" i="2"/>
  <c r="C17" i="2"/>
  <c r="B17" i="2"/>
  <c r="H16" i="2"/>
  <c r="G16" i="2"/>
  <c r="F16" i="2"/>
  <c r="E16" i="2"/>
  <c r="D16" i="2"/>
  <c r="C16" i="2"/>
  <c r="B16" i="2"/>
  <c r="H15" i="2"/>
  <c r="G15" i="2"/>
  <c r="F15" i="2"/>
  <c r="E15" i="2"/>
  <c r="D15" i="2"/>
  <c r="C15" i="2"/>
  <c r="B15" i="2"/>
  <c r="H14" i="2"/>
  <c r="G14" i="2"/>
  <c r="F14" i="2"/>
  <c r="E14" i="2"/>
  <c r="D14" i="2"/>
  <c r="C14" i="2"/>
  <c r="B14" i="2"/>
  <c r="H13" i="2"/>
  <c r="G13" i="2"/>
  <c r="F13" i="2"/>
  <c r="E13" i="2"/>
  <c r="D13" i="2"/>
  <c r="C13" i="2"/>
  <c r="B13" i="2"/>
  <c r="H12" i="2"/>
  <c r="G12" i="2"/>
  <c r="F12" i="2"/>
  <c r="E12" i="2"/>
  <c r="D12" i="2"/>
  <c r="C12" i="2"/>
  <c r="B12" i="2"/>
  <c r="H11" i="2"/>
  <c r="G11" i="2"/>
  <c r="F11" i="2"/>
  <c r="E11" i="2"/>
  <c r="D11" i="2"/>
  <c r="C11" i="2"/>
  <c r="B11" i="2"/>
  <c r="H10" i="2"/>
  <c r="G10" i="2"/>
  <c r="F10" i="2"/>
  <c r="E10" i="2"/>
  <c r="D10" i="2"/>
  <c r="C10" i="2"/>
  <c r="B10" i="2"/>
  <c r="H9" i="2"/>
  <c r="G9" i="2"/>
  <c r="F9" i="2"/>
  <c r="E9" i="2"/>
  <c r="E20" i="2" s="1"/>
  <c r="D9" i="2"/>
  <c r="C9" i="2"/>
  <c r="B9" i="2"/>
  <c r="H8" i="2"/>
  <c r="G8" i="2"/>
  <c r="F8" i="2"/>
  <c r="E8" i="2"/>
  <c r="D8" i="2"/>
  <c r="C8" i="2"/>
  <c r="B8" i="2"/>
  <c r="L209" i="1"/>
  <c r="K209" i="1"/>
  <c r="J209" i="1"/>
  <c r="I209" i="1"/>
  <c r="B209" i="1"/>
  <c r="L208" i="1"/>
  <c r="K208" i="1"/>
  <c r="J208" i="1"/>
  <c r="I208" i="1"/>
  <c r="B208" i="1"/>
  <c r="L207" i="1"/>
  <c r="K207" i="1"/>
  <c r="J207" i="1"/>
  <c r="I207" i="1"/>
  <c r="B207" i="1"/>
  <c r="L206" i="1"/>
  <c r="K206" i="1"/>
  <c r="J206" i="1"/>
  <c r="I206" i="1"/>
  <c r="B206" i="1"/>
  <c r="L205" i="1"/>
  <c r="K205" i="1"/>
  <c r="J205" i="1"/>
  <c r="I205" i="1"/>
  <c r="B205" i="1"/>
  <c r="L204" i="1"/>
  <c r="K204" i="1"/>
  <c r="J204" i="1"/>
  <c r="I204" i="1"/>
  <c r="B204" i="1"/>
  <c r="L203" i="1"/>
  <c r="K203" i="1"/>
  <c r="J203" i="1"/>
  <c r="I203" i="1"/>
  <c r="B203" i="1"/>
  <c r="L202" i="1"/>
  <c r="K202" i="1"/>
  <c r="J202" i="1"/>
  <c r="I202" i="1"/>
  <c r="B202" i="1"/>
  <c r="L201" i="1"/>
  <c r="K201" i="1"/>
  <c r="J201" i="1"/>
  <c r="I201" i="1"/>
  <c r="B201" i="1"/>
  <c r="L200" i="1"/>
  <c r="K200" i="1"/>
  <c r="J200" i="1"/>
  <c r="I200" i="1"/>
  <c r="B200" i="1"/>
  <c r="L199" i="1"/>
  <c r="K199" i="1"/>
  <c r="J199" i="1"/>
  <c r="I199" i="1"/>
  <c r="B199" i="1"/>
  <c r="L198" i="1"/>
  <c r="K198" i="1"/>
  <c r="J198" i="1"/>
  <c r="I198" i="1"/>
  <c r="B198" i="1"/>
  <c r="L197" i="1"/>
  <c r="K197" i="1"/>
  <c r="J197" i="1"/>
  <c r="I197" i="1"/>
  <c r="B197" i="1"/>
  <c r="L196" i="1"/>
  <c r="K196" i="1"/>
  <c r="J196" i="1"/>
  <c r="I196" i="1"/>
  <c r="B196" i="1"/>
  <c r="L195" i="1"/>
  <c r="K195" i="1"/>
  <c r="J195" i="1"/>
  <c r="I195" i="1"/>
  <c r="B195" i="1"/>
  <c r="L194" i="1"/>
  <c r="K194" i="1"/>
  <c r="J194" i="1"/>
  <c r="I194" i="1"/>
  <c r="B194" i="1"/>
  <c r="L193" i="1"/>
  <c r="K193" i="1"/>
  <c r="J193" i="1"/>
  <c r="I193" i="1"/>
  <c r="B193" i="1"/>
  <c r="L192" i="1"/>
  <c r="K192" i="1"/>
  <c r="J192" i="1"/>
  <c r="I192" i="1"/>
  <c r="B192" i="1"/>
  <c r="L191" i="1"/>
  <c r="K191" i="1"/>
  <c r="J191" i="1"/>
  <c r="I191" i="1"/>
  <c r="B191" i="1"/>
  <c r="L190" i="1"/>
  <c r="K190" i="1"/>
  <c r="J190" i="1"/>
  <c r="I190" i="1"/>
  <c r="B190" i="1"/>
  <c r="L189" i="1"/>
  <c r="K189" i="1"/>
  <c r="J189" i="1"/>
  <c r="I189" i="1"/>
  <c r="B189" i="1"/>
  <c r="L188" i="1"/>
  <c r="K188" i="1"/>
  <c r="J188" i="1"/>
  <c r="I188" i="1"/>
  <c r="B188" i="1"/>
  <c r="L187" i="1"/>
  <c r="K187" i="1"/>
  <c r="J187" i="1"/>
  <c r="I187" i="1"/>
  <c r="B187" i="1"/>
  <c r="L186" i="1"/>
  <c r="K186" i="1"/>
  <c r="J186" i="1"/>
  <c r="I186" i="1"/>
  <c r="B186" i="1"/>
  <c r="L185" i="1"/>
  <c r="K185" i="1"/>
  <c r="J185" i="1"/>
  <c r="I185" i="1"/>
  <c r="B185" i="1"/>
  <c r="L184" i="1"/>
  <c r="K184" i="1"/>
  <c r="J184" i="1"/>
  <c r="I184" i="1"/>
  <c r="B184" i="1"/>
  <c r="L183" i="1"/>
  <c r="K183" i="1"/>
  <c r="J183" i="1"/>
  <c r="I183" i="1"/>
  <c r="B183" i="1"/>
  <c r="L182" i="1"/>
  <c r="K182" i="1"/>
  <c r="J182" i="1"/>
  <c r="I182" i="1"/>
  <c r="B182" i="1"/>
  <c r="L181" i="1"/>
  <c r="K181" i="1"/>
  <c r="J181" i="1"/>
  <c r="I181" i="1"/>
  <c r="B181" i="1"/>
  <c r="L180" i="1"/>
  <c r="K180" i="1"/>
  <c r="J180" i="1"/>
  <c r="I180" i="1"/>
  <c r="B180" i="1"/>
  <c r="L179" i="1"/>
  <c r="K179" i="1"/>
  <c r="J179" i="1"/>
  <c r="I179" i="1"/>
  <c r="B179" i="1"/>
  <c r="L178" i="1"/>
  <c r="K178" i="1"/>
  <c r="J178" i="1"/>
  <c r="I178" i="1"/>
  <c r="B178" i="1"/>
  <c r="L177" i="1"/>
  <c r="K177" i="1"/>
  <c r="J177" i="1"/>
  <c r="I177" i="1"/>
  <c r="B177" i="1"/>
  <c r="L176" i="1"/>
  <c r="K176" i="1"/>
  <c r="J176" i="1"/>
  <c r="I176" i="1"/>
  <c r="B176" i="1"/>
  <c r="L175" i="1"/>
  <c r="K175" i="1"/>
  <c r="J175" i="1"/>
  <c r="I175" i="1"/>
  <c r="B175" i="1"/>
  <c r="L174" i="1"/>
  <c r="K174" i="1"/>
  <c r="J174" i="1"/>
  <c r="I174" i="1"/>
  <c r="B174" i="1"/>
  <c r="L173" i="1"/>
  <c r="K173" i="1"/>
  <c r="J173" i="1"/>
  <c r="I173" i="1"/>
  <c r="B173" i="1"/>
  <c r="L172" i="1"/>
  <c r="K172" i="1"/>
  <c r="J172" i="1"/>
  <c r="I172" i="1"/>
  <c r="B172" i="1"/>
  <c r="L171" i="1"/>
  <c r="K171" i="1"/>
  <c r="J171" i="1"/>
  <c r="I171" i="1"/>
  <c r="B171" i="1"/>
  <c r="L170" i="1"/>
  <c r="K170" i="1"/>
  <c r="J170" i="1"/>
  <c r="I170" i="1"/>
  <c r="B170" i="1"/>
  <c r="L169" i="1"/>
  <c r="K169" i="1"/>
  <c r="J169" i="1"/>
  <c r="I169" i="1"/>
  <c r="B169" i="1"/>
  <c r="L168" i="1"/>
  <c r="K168" i="1"/>
  <c r="J168" i="1"/>
  <c r="I168" i="1"/>
  <c r="B168" i="1"/>
  <c r="L167" i="1"/>
  <c r="K167" i="1"/>
  <c r="J167" i="1"/>
  <c r="I167" i="1"/>
  <c r="B167" i="1"/>
  <c r="L166" i="1"/>
  <c r="K166" i="1"/>
  <c r="J166" i="1"/>
  <c r="I166" i="1"/>
  <c r="B166" i="1"/>
  <c r="L165" i="1"/>
  <c r="K165" i="1"/>
  <c r="J165" i="1"/>
  <c r="I165" i="1"/>
  <c r="B165" i="1"/>
  <c r="L164" i="1"/>
  <c r="K164" i="1"/>
  <c r="J164" i="1"/>
  <c r="I164" i="1"/>
  <c r="B164" i="1"/>
  <c r="L163" i="1"/>
  <c r="K163" i="1"/>
  <c r="J163" i="1"/>
  <c r="I163" i="1"/>
  <c r="B163" i="1"/>
  <c r="L162" i="1"/>
  <c r="K162" i="1"/>
  <c r="J162" i="1"/>
  <c r="I162" i="1"/>
  <c r="B162" i="1"/>
  <c r="L161" i="1"/>
  <c r="K161" i="1"/>
  <c r="J161" i="1"/>
  <c r="I161" i="1"/>
  <c r="B161" i="1"/>
  <c r="L160" i="1"/>
  <c r="K160" i="1"/>
  <c r="J160" i="1"/>
  <c r="I160" i="1"/>
  <c r="B160" i="1"/>
  <c r="L159" i="1"/>
  <c r="K159" i="1"/>
  <c r="J159" i="1"/>
  <c r="I159" i="1"/>
  <c r="B159" i="1"/>
  <c r="L158" i="1"/>
  <c r="K158" i="1"/>
  <c r="J158" i="1"/>
  <c r="I158" i="1"/>
  <c r="B158" i="1"/>
  <c r="L157" i="1"/>
  <c r="K157" i="1"/>
  <c r="J157" i="1"/>
  <c r="I157" i="1"/>
  <c r="B157" i="1"/>
  <c r="L156" i="1"/>
  <c r="K156" i="1"/>
  <c r="J156" i="1"/>
  <c r="I156" i="1"/>
  <c r="B156" i="1"/>
  <c r="L155" i="1"/>
  <c r="K155" i="1"/>
  <c r="J155" i="1"/>
  <c r="I155" i="1"/>
  <c r="B155" i="1"/>
  <c r="L154" i="1"/>
  <c r="K154" i="1"/>
  <c r="J154" i="1"/>
  <c r="I154" i="1"/>
  <c r="B154" i="1"/>
  <c r="L153" i="1"/>
  <c r="K153" i="1"/>
  <c r="J153" i="1"/>
  <c r="I153" i="1"/>
  <c r="B153" i="1"/>
  <c r="L152" i="1"/>
  <c r="K152" i="1"/>
  <c r="J152" i="1"/>
  <c r="I152" i="1"/>
  <c r="B152" i="1"/>
  <c r="L151" i="1"/>
  <c r="K151" i="1"/>
  <c r="J151" i="1"/>
  <c r="I151" i="1"/>
  <c r="B151" i="1"/>
  <c r="L150" i="1"/>
  <c r="K150" i="1"/>
  <c r="J150" i="1"/>
  <c r="I150" i="1"/>
  <c r="B150" i="1"/>
  <c r="L149" i="1"/>
  <c r="K149" i="1"/>
  <c r="J149" i="1"/>
  <c r="I149" i="1"/>
  <c r="B149" i="1"/>
  <c r="L148" i="1"/>
  <c r="K148" i="1"/>
  <c r="J148" i="1"/>
  <c r="I148" i="1"/>
  <c r="B148" i="1"/>
  <c r="L147" i="1"/>
  <c r="K147" i="1"/>
  <c r="J147" i="1"/>
  <c r="I147" i="1"/>
  <c r="B147" i="1"/>
  <c r="L146" i="1"/>
  <c r="K146" i="1"/>
  <c r="J146" i="1"/>
  <c r="I146" i="1"/>
  <c r="B146" i="1"/>
  <c r="L145" i="1"/>
  <c r="K145" i="1"/>
  <c r="J145" i="1"/>
  <c r="I145" i="1"/>
  <c r="B145" i="1"/>
  <c r="L144" i="1"/>
  <c r="K144" i="1"/>
  <c r="J144" i="1"/>
  <c r="I144" i="1"/>
  <c r="B144" i="1"/>
  <c r="L143" i="1"/>
  <c r="K143" i="1"/>
  <c r="J143" i="1"/>
  <c r="I143" i="1"/>
  <c r="B143" i="1"/>
  <c r="L142" i="1"/>
  <c r="K142" i="1"/>
  <c r="J142" i="1"/>
  <c r="I142" i="1"/>
  <c r="B142" i="1"/>
  <c r="L141" i="1"/>
  <c r="K141" i="1"/>
  <c r="J141" i="1"/>
  <c r="I141" i="1"/>
  <c r="B141" i="1"/>
  <c r="L140" i="1"/>
  <c r="K140" i="1"/>
  <c r="J140" i="1"/>
  <c r="I140" i="1"/>
  <c r="B140" i="1"/>
  <c r="L139" i="1"/>
  <c r="K139" i="1"/>
  <c r="J139" i="1"/>
  <c r="I139" i="1"/>
  <c r="B139" i="1"/>
  <c r="L138" i="1"/>
  <c r="K138" i="1"/>
  <c r="J138" i="1"/>
  <c r="I138" i="1"/>
  <c r="B138" i="1"/>
  <c r="L137" i="1"/>
  <c r="K137" i="1"/>
  <c r="J137" i="1"/>
  <c r="I137" i="1"/>
  <c r="B137" i="1"/>
  <c r="L136" i="1"/>
  <c r="K136" i="1"/>
  <c r="J136" i="1"/>
  <c r="I136" i="1"/>
  <c r="B136" i="1"/>
  <c r="L135" i="1"/>
  <c r="K135" i="1"/>
  <c r="J135" i="1"/>
  <c r="I135" i="1"/>
  <c r="B135" i="1"/>
  <c r="L134" i="1"/>
  <c r="K134" i="1"/>
  <c r="J134" i="1"/>
  <c r="I134" i="1"/>
  <c r="B134" i="1"/>
  <c r="L133" i="1"/>
  <c r="K133" i="1"/>
  <c r="J133" i="1"/>
  <c r="I133" i="1"/>
  <c r="B133" i="1"/>
  <c r="L132" i="1"/>
  <c r="K132" i="1"/>
  <c r="J132" i="1"/>
  <c r="I132" i="1"/>
  <c r="B132" i="1"/>
  <c r="L131" i="1"/>
  <c r="K131" i="1"/>
  <c r="J131" i="1"/>
  <c r="I131" i="1"/>
  <c r="B131" i="1"/>
  <c r="L130" i="1"/>
  <c r="K130" i="1"/>
  <c r="J130" i="1"/>
  <c r="I130" i="1"/>
  <c r="B130" i="1"/>
  <c r="L129" i="1"/>
  <c r="K129" i="1"/>
  <c r="J129" i="1"/>
  <c r="I129" i="1"/>
  <c r="B129" i="1"/>
  <c r="L128" i="1"/>
  <c r="K128" i="1"/>
  <c r="J128" i="1"/>
  <c r="I128" i="1"/>
  <c r="B128" i="1"/>
  <c r="L127" i="1"/>
  <c r="K127" i="1"/>
  <c r="J127" i="1"/>
  <c r="I127" i="1"/>
  <c r="B127" i="1"/>
  <c r="L126" i="1"/>
  <c r="K126" i="1"/>
  <c r="J126" i="1"/>
  <c r="I126" i="1"/>
  <c r="B126" i="1"/>
  <c r="L125" i="1"/>
  <c r="K125" i="1"/>
  <c r="J125" i="1"/>
  <c r="I125" i="1"/>
  <c r="B125" i="1"/>
  <c r="L124" i="1"/>
  <c r="K124" i="1"/>
  <c r="J124" i="1"/>
  <c r="I124" i="1"/>
  <c r="B124" i="1"/>
  <c r="L123" i="1"/>
  <c r="K123" i="1"/>
  <c r="J123" i="1"/>
  <c r="I123" i="1"/>
  <c r="B123" i="1"/>
  <c r="L122" i="1"/>
  <c r="K122" i="1"/>
  <c r="J122" i="1"/>
  <c r="I122" i="1"/>
  <c r="B122" i="1"/>
  <c r="L121" i="1"/>
  <c r="K121" i="1"/>
  <c r="J121" i="1"/>
  <c r="I121" i="1"/>
  <c r="B121" i="1"/>
  <c r="L120" i="1"/>
  <c r="K120" i="1"/>
  <c r="J120" i="1"/>
  <c r="I120" i="1"/>
  <c r="B120" i="1"/>
  <c r="L119" i="1"/>
  <c r="K119" i="1"/>
  <c r="J119" i="1"/>
  <c r="I119" i="1"/>
  <c r="B119" i="1"/>
  <c r="L118" i="1"/>
  <c r="K118" i="1"/>
  <c r="J118" i="1"/>
  <c r="I118" i="1"/>
  <c r="B118" i="1"/>
  <c r="L117" i="1"/>
  <c r="K117" i="1"/>
  <c r="J117" i="1"/>
  <c r="I117" i="1"/>
  <c r="B117" i="1"/>
  <c r="L116" i="1"/>
  <c r="K116" i="1"/>
  <c r="J116" i="1"/>
  <c r="I116" i="1"/>
  <c r="B116" i="1"/>
  <c r="L115" i="1"/>
  <c r="K115" i="1"/>
  <c r="J115" i="1"/>
  <c r="I115" i="1"/>
  <c r="B115" i="1"/>
  <c r="L114" i="1"/>
  <c r="K114" i="1"/>
  <c r="J114" i="1"/>
  <c r="I114" i="1"/>
  <c r="B114" i="1"/>
  <c r="L113" i="1"/>
  <c r="K113" i="1"/>
  <c r="J113" i="1"/>
  <c r="I113" i="1"/>
  <c r="B113" i="1"/>
  <c r="L112" i="1"/>
  <c r="K112" i="1"/>
  <c r="J112" i="1"/>
  <c r="I112" i="1"/>
  <c r="B112" i="1"/>
  <c r="L111" i="1"/>
  <c r="K111" i="1"/>
  <c r="J111" i="1"/>
  <c r="I111" i="1"/>
  <c r="B111" i="1"/>
  <c r="L110" i="1"/>
  <c r="K110" i="1"/>
  <c r="J110" i="1"/>
  <c r="I110" i="1"/>
  <c r="B110" i="1"/>
  <c r="L109" i="1"/>
  <c r="K109" i="1"/>
  <c r="J109" i="1"/>
  <c r="I109" i="1"/>
  <c r="B109" i="1"/>
  <c r="L108" i="1"/>
  <c r="K108" i="1"/>
  <c r="J108" i="1"/>
  <c r="I108" i="1"/>
  <c r="B108" i="1"/>
  <c r="L107" i="1"/>
  <c r="K107" i="1"/>
  <c r="J107" i="1"/>
  <c r="I107" i="1"/>
  <c r="B107" i="1"/>
  <c r="L106" i="1"/>
  <c r="K106" i="1"/>
  <c r="J106" i="1"/>
  <c r="I106" i="1"/>
  <c r="B106" i="1"/>
  <c r="L105" i="1"/>
  <c r="K105" i="1"/>
  <c r="J105" i="1"/>
  <c r="I105" i="1"/>
  <c r="B105" i="1"/>
  <c r="L104" i="1"/>
  <c r="K104" i="1"/>
  <c r="J104" i="1"/>
  <c r="I104" i="1"/>
  <c r="B104" i="1"/>
  <c r="L103" i="1"/>
  <c r="K103" i="1"/>
  <c r="J103" i="1"/>
  <c r="I103" i="1"/>
  <c r="B103" i="1"/>
  <c r="L102" i="1"/>
  <c r="K102" i="1"/>
  <c r="J102" i="1"/>
  <c r="I102" i="1"/>
  <c r="B102" i="1"/>
  <c r="L101" i="1"/>
  <c r="K101" i="1"/>
  <c r="J101" i="1"/>
  <c r="I101" i="1"/>
  <c r="B101" i="1"/>
  <c r="L100" i="1"/>
  <c r="K100" i="1"/>
  <c r="J100" i="1"/>
  <c r="I100" i="1"/>
  <c r="B100" i="1"/>
  <c r="L99" i="1"/>
  <c r="K99" i="1"/>
  <c r="J99" i="1"/>
  <c r="I99" i="1"/>
  <c r="B99" i="1"/>
  <c r="L98" i="1"/>
  <c r="K98" i="1"/>
  <c r="J98" i="1"/>
  <c r="I98" i="1"/>
  <c r="B98" i="1"/>
  <c r="L97" i="1"/>
  <c r="K97" i="1"/>
  <c r="J97" i="1"/>
  <c r="I97" i="1"/>
  <c r="B97" i="1"/>
  <c r="L96" i="1"/>
  <c r="K96" i="1"/>
  <c r="J96" i="1"/>
  <c r="I96" i="1"/>
  <c r="B96" i="1"/>
  <c r="L95" i="1"/>
  <c r="K95" i="1"/>
  <c r="J95" i="1"/>
  <c r="I95" i="1"/>
  <c r="B95" i="1"/>
  <c r="L94" i="1"/>
  <c r="K94" i="1"/>
  <c r="J94" i="1"/>
  <c r="I94" i="1"/>
  <c r="B94" i="1"/>
  <c r="L93" i="1"/>
  <c r="K93" i="1"/>
  <c r="J93" i="1"/>
  <c r="I93" i="1"/>
  <c r="B93" i="1"/>
  <c r="L92" i="1"/>
  <c r="K92" i="1"/>
  <c r="J92" i="1"/>
  <c r="I92" i="1"/>
  <c r="B92" i="1"/>
  <c r="L91" i="1"/>
  <c r="K91" i="1"/>
  <c r="J91" i="1"/>
  <c r="I91" i="1"/>
  <c r="B91" i="1"/>
  <c r="L90" i="1"/>
  <c r="K90" i="1"/>
  <c r="J90" i="1"/>
  <c r="I90" i="1"/>
  <c r="B90" i="1"/>
  <c r="L89" i="1"/>
  <c r="K89" i="1"/>
  <c r="J89" i="1"/>
  <c r="I89" i="1"/>
  <c r="B89" i="1"/>
  <c r="L88" i="1"/>
  <c r="K88" i="1"/>
  <c r="J88" i="1"/>
  <c r="I88" i="1"/>
  <c r="B88" i="1"/>
  <c r="L87" i="1"/>
  <c r="K87" i="1"/>
  <c r="J87" i="1"/>
  <c r="I87" i="1"/>
  <c r="B87" i="1"/>
  <c r="L86" i="1"/>
  <c r="K86" i="1"/>
  <c r="J86" i="1"/>
  <c r="I86" i="1"/>
  <c r="B86" i="1"/>
  <c r="L85" i="1"/>
  <c r="K85" i="1"/>
  <c r="J85" i="1"/>
  <c r="I85" i="1"/>
  <c r="B85" i="1"/>
  <c r="L84" i="1"/>
  <c r="K84" i="1"/>
  <c r="J84" i="1"/>
  <c r="I84" i="1"/>
  <c r="B84" i="1"/>
  <c r="L83" i="1"/>
  <c r="K83" i="1"/>
  <c r="J83" i="1"/>
  <c r="I83" i="1"/>
  <c r="B83" i="1"/>
  <c r="L82" i="1"/>
  <c r="K82" i="1"/>
  <c r="J82" i="1"/>
  <c r="I82" i="1"/>
  <c r="B82" i="1"/>
  <c r="L81" i="1"/>
  <c r="K81" i="1"/>
  <c r="J81" i="1"/>
  <c r="I81" i="1"/>
  <c r="B81" i="1"/>
  <c r="L80" i="1"/>
  <c r="K80" i="1"/>
  <c r="J80" i="1"/>
  <c r="I80" i="1"/>
  <c r="B80" i="1"/>
  <c r="L79" i="1"/>
  <c r="K79" i="1"/>
  <c r="J79" i="1"/>
  <c r="I79" i="1"/>
  <c r="B79" i="1"/>
  <c r="L78" i="1"/>
  <c r="K78" i="1"/>
  <c r="J78" i="1"/>
  <c r="I78" i="1"/>
  <c r="B78" i="1"/>
  <c r="L77" i="1"/>
  <c r="K77" i="1"/>
  <c r="J77" i="1"/>
  <c r="I77" i="1"/>
  <c r="B77" i="1"/>
  <c r="L76" i="1"/>
  <c r="K76" i="1"/>
  <c r="J76" i="1"/>
  <c r="I76" i="1"/>
  <c r="B76" i="1"/>
  <c r="L75" i="1"/>
  <c r="K75" i="1"/>
  <c r="J75" i="1"/>
  <c r="I75" i="1"/>
  <c r="B75" i="1"/>
  <c r="L74" i="1"/>
  <c r="K74" i="1"/>
  <c r="J74" i="1"/>
  <c r="I74" i="1"/>
  <c r="B74" i="1"/>
  <c r="L73" i="1"/>
  <c r="K73" i="1"/>
  <c r="J73" i="1"/>
  <c r="I73" i="1"/>
  <c r="B73" i="1"/>
  <c r="L72" i="1"/>
  <c r="K72" i="1"/>
  <c r="J72" i="1"/>
  <c r="I72" i="1"/>
  <c r="B72" i="1"/>
  <c r="L71" i="1"/>
  <c r="K71" i="1"/>
  <c r="J71" i="1"/>
  <c r="I71" i="1"/>
  <c r="B71" i="1"/>
  <c r="L70" i="1"/>
  <c r="K70" i="1"/>
  <c r="J70" i="1"/>
  <c r="I70" i="1"/>
  <c r="B70" i="1"/>
  <c r="L69" i="1"/>
  <c r="K69" i="1"/>
  <c r="J69" i="1"/>
  <c r="I69" i="1"/>
  <c r="B69" i="1"/>
  <c r="L68" i="1"/>
  <c r="K68" i="1"/>
  <c r="J68" i="1"/>
  <c r="I68" i="1"/>
  <c r="B68" i="1"/>
  <c r="L67" i="1"/>
  <c r="K67" i="1"/>
  <c r="J67" i="1"/>
  <c r="I67" i="1"/>
  <c r="B67" i="1"/>
  <c r="L66" i="1"/>
  <c r="K66" i="1"/>
  <c r="J66" i="1"/>
  <c r="I66" i="1"/>
  <c r="B66" i="1"/>
  <c r="L65" i="1"/>
  <c r="K65" i="1"/>
  <c r="J65" i="1"/>
  <c r="I65" i="1"/>
  <c r="B65" i="1"/>
  <c r="L64" i="1"/>
  <c r="K64" i="1"/>
  <c r="J64" i="1"/>
  <c r="I64" i="1"/>
  <c r="B64" i="1"/>
  <c r="L63" i="1"/>
  <c r="K63" i="1"/>
  <c r="J63" i="1"/>
  <c r="I63" i="1"/>
  <c r="B63" i="1"/>
  <c r="L62" i="1"/>
  <c r="K62" i="1"/>
  <c r="J62" i="1"/>
  <c r="I62" i="1"/>
  <c r="B62" i="1"/>
  <c r="L61" i="1"/>
  <c r="K61" i="1"/>
  <c r="J61" i="1"/>
  <c r="I61" i="1"/>
  <c r="B61" i="1"/>
  <c r="L60" i="1"/>
  <c r="K60" i="1"/>
  <c r="J60" i="1"/>
  <c r="I60" i="1"/>
  <c r="B60" i="1"/>
  <c r="L59" i="1"/>
  <c r="K59" i="1"/>
  <c r="J59" i="1"/>
  <c r="I59" i="1"/>
  <c r="B59" i="1"/>
  <c r="L58" i="1"/>
  <c r="K58" i="1"/>
  <c r="J58" i="1"/>
  <c r="I58" i="1"/>
  <c r="B58" i="1"/>
  <c r="L57" i="1"/>
  <c r="K57" i="1"/>
  <c r="J57" i="1"/>
  <c r="I57" i="1"/>
  <c r="B57" i="1"/>
  <c r="L56" i="1"/>
  <c r="K56" i="1"/>
  <c r="J56" i="1"/>
  <c r="I56" i="1"/>
  <c r="B56" i="1"/>
  <c r="L55" i="1"/>
  <c r="K55" i="1"/>
  <c r="J55" i="1"/>
  <c r="I55" i="1"/>
  <c r="B55" i="1"/>
  <c r="L54" i="1"/>
  <c r="K54" i="1"/>
  <c r="J54" i="1"/>
  <c r="I54" i="1"/>
  <c r="B54" i="1"/>
  <c r="L53" i="1"/>
  <c r="K53" i="1"/>
  <c r="J53" i="1"/>
  <c r="I53" i="1"/>
  <c r="B53" i="1"/>
  <c r="L52" i="1"/>
  <c r="K52" i="1"/>
  <c r="J52" i="1"/>
  <c r="I52" i="1"/>
  <c r="B52" i="1"/>
  <c r="L51" i="1"/>
  <c r="K51" i="1"/>
  <c r="J51" i="1"/>
  <c r="I51" i="1"/>
  <c r="B51" i="1"/>
  <c r="L50" i="1"/>
  <c r="K50" i="1"/>
  <c r="J50" i="1"/>
  <c r="I50" i="1"/>
  <c r="B50" i="1"/>
  <c r="L49" i="1"/>
  <c r="K49" i="1"/>
  <c r="J49" i="1"/>
  <c r="I49" i="1"/>
  <c r="B49" i="1"/>
  <c r="L48" i="1"/>
  <c r="K48" i="1"/>
  <c r="J48" i="1"/>
  <c r="I48" i="1"/>
  <c r="B48" i="1"/>
  <c r="L47" i="1"/>
  <c r="K47" i="1"/>
  <c r="J47" i="1"/>
  <c r="I47" i="1"/>
  <c r="B47" i="1"/>
  <c r="L46" i="1"/>
  <c r="K46" i="1"/>
  <c r="J46" i="1"/>
  <c r="I46" i="1"/>
  <c r="B46" i="1"/>
  <c r="L45" i="1"/>
  <c r="K45" i="1"/>
  <c r="J45" i="1"/>
  <c r="I45" i="1"/>
  <c r="B45" i="1"/>
  <c r="L44" i="1"/>
  <c r="K44" i="1"/>
  <c r="J44" i="1"/>
  <c r="I44" i="1"/>
  <c r="B44" i="1"/>
  <c r="L43" i="1"/>
  <c r="K43" i="1"/>
  <c r="J43" i="1"/>
  <c r="I43" i="1"/>
  <c r="B43" i="1"/>
  <c r="L42" i="1"/>
  <c r="K42" i="1"/>
  <c r="J42" i="1"/>
  <c r="I42" i="1"/>
  <c r="B42" i="1"/>
  <c r="L41" i="1"/>
  <c r="K41" i="1"/>
  <c r="J41" i="1"/>
  <c r="I41" i="1"/>
  <c r="B41" i="1"/>
  <c r="L40" i="1"/>
  <c r="K40" i="1"/>
  <c r="J40" i="1"/>
  <c r="I40" i="1"/>
  <c r="B40" i="1"/>
  <c r="L39" i="1"/>
  <c r="K39" i="1"/>
  <c r="J39" i="1"/>
  <c r="I39" i="1"/>
  <c r="B39" i="1"/>
  <c r="L38" i="1"/>
  <c r="K38" i="1"/>
  <c r="J38" i="1"/>
  <c r="I38" i="1"/>
  <c r="B38" i="1"/>
  <c r="L37" i="1"/>
  <c r="K37" i="1"/>
  <c r="J37" i="1"/>
  <c r="I37" i="1"/>
  <c r="B37" i="1"/>
  <c r="L36" i="1"/>
  <c r="K36" i="1"/>
  <c r="J36" i="1"/>
  <c r="I36" i="1"/>
  <c r="B36" i="1"/>
  <c r="L35" i="1"/>
  <c r="K35" i="1"/>
  <c r="J35" i="1"/>
  <c r="I35" i="1"/>
  <c r="B35" i="1"/>
  <c r="L34" i="1"/>
  <c r="K34" i="1"/>
  <c r="J34" i="1"/>
  <c r="I34" i="1"/>
  <c r="B34" i="1"/>
  <c r="L33" i="1"/>
  <c r="K33" i="1"/>
  <c r="J33" i="1"/>
  <c r="I33" i="1"/>
  <c r="B33" i="1"/>
  <c r="L32" i="1"/>
  <c r="K32" i="1"/>
  <c r="J32" i="1"/>
  <c r="I32" i="1"/>
  <c r="B32" i="1"/>
  <c r="L31" i="1"/>
  <c r="K31" i="1"/>
  <c r="J31" i="1"/>
  <c r="I31" i="1"/>
  <c r="B31" i="1"/>
  <c r="L30" i="1"/>
  <c r="K30" i="1"/>
  <c r="J30" i="1"/>
  <c r="I30" i="1"/>
  <c r="B30" i="1"/>
  <c r="L29" i="1"/>
  <c r="K29" i="1"/>
  <c r="J29" i="1"/>
  <c r="I29" i="1"/>
  <c r="B29" i="1"/>
  <c r="L28" i="1"/>
  <c r="K28" i="1"/>
  <c r="J28" i="1"/>
  <c r="I28" i="1"/>
  <c r="B28" i="1"/>
  <c r="L27" i="1"/>
  <c r="K27" i="1"/>
  <c r="J27" i="1"/>
  <c r="I27" i="1"/>
  <c r="B27" i="1"/>
  <c r="L26" i="1"/>
  <c r="K26" i="1"/>
  <c r="J26" i="1"/>
  <c r="I26" i="1"/>
  <c r="B26" i="1"/>
  <c r="L25" i="1"/>
  <c r="K25" i="1"/>
  <c r="J25" i="1"/>
  <c r="I25" i="1"/>
  <c r="B25" i="1"/>
  <c r="L24" i="1"/>
  <c r="K24" i="1"/>
  <c r="J24" i="1"/>
  <c r="I24" i="1"/>
  <c r="B24" i="1"/>
  <c r="L23" i="1"/>
  <c r="K23" i="1"/>
  <c r="J23" i="1"/>
  <c r="I23" i="1"/>
  <c r="B23" i="1"/>
  <c r="L22" i="1"/>
  <c r="K22" i="1"/>
  <c r="J22" i="1"/>
  <c r="I22" i="1"/>
  <c r="B22" i="1"/>
  <c r="K21" i="1"/>
  <c r="L21" i="1" s="1"/>
  <c r="I21" i="1"/>
  <c r="J21" i="1" s="1"/>
  <c r="B21" i="1"/>
  <c r="K20" i="1"/>
  <c r="L20" i="1" s="1"/>
  <c r="J20" i="1"/>
  <c r="I20" i="1"/>
  <c r="B20" i="1"/>
  <c r="K19" i="1"/>
  <c r="L19" i="1" s="1"/>
  <c r="I19" i="1"/>
  <c r="J19" i="1" s="1"/>
  <c r="B19" i="1"/>
  <c r="L18" i="1"/>
  <c r="K18" i="1"/>
  <c r="I18" i="1"/>
  <c r="J18" i="1" s="1"/>
  <c r="B18" i="1"/>
  <c r="L17" i="1"/>
  <c r="K17" i="1"/>
  <c r="I17" i="1"/>
  <c r="J17" i="1" s="1"/>
  <c r="B17" i="1"/>
  <c r="K16" i="1"/>
  <c r="L16" i="1" s="1"/>
  <c r="J16" i="1"/>
  <c r="I16" i="1"/>
  <c r="B16" i="1"/>
  <c r="K15" i="1"/>
  <c r="L15" i="1" s="1"/>
  <c r="I15" i="1"/>
  <c r="J15" i="1" s="1"/>
  <c r="B15" i="1"/>
  <c r="L14" i="1"/>
  <c r="K14" i="1"/>
  <c r="I14" i="1"/>
  <c r="J14" i="1" s="1"/>
  <c r="B14" i="1"/>
  <c r="L13" i="1"/>
  <c r="K13" i="1"/>
  <c r="I13" i="1"/>
  <c r="J13" i="1" s="1"/>
  <c r="B13" i="1"/>
  <c r="L12" i="1"/>
  <c r="K12" i="1"/>
  <c r="J12" i="1"/>
  <c r="I12" i="1"/>
  <c r="B12" i="1"/>
  <c r="L11" i="1"/>
  <c r="K11" i="1"/>
  <c r="I11" i="1"/>
  <c r="J11" i="1" s="1"/>
  <c r="B11" i="1"/>
  <c r="L10" i="1"/>
  <c r="K10" i="1"/>
  <c r="I10" i="1"/>
  <c r="J10" i="1" s="1"/>
  <c r="B10" i="1"/>
  <c r="K7" i="1"/>
  <c r="I7" i="1"/>
  <c r="G7" i="1"/>
  <c r="F7" i="1"/>
  <c r="D7" i="1"/>
  <c r="B7" i="1"/>
  <c r="H31" i="2" l="1"/>
  <c r="C35" i="2"/>
  <c r="C38" i="2"/>
  <c r="F20" i="2"/>
  <c r="H25" i="2"/>
  <c r="G27" i="2"/>
  <c r="E28" i="2"/>
  <c r="C31" i="2"/>
  <c r="G32" i="2"/>
  <c r="C34" i="2"/>
  <c r="D35" i="2"/>
  <c r="C36" i="2"/>
  <c r="H36" i="2"/>
  <c r="G38" i="2"/>
  <c r="G39" i="2"/>
  <c r="H35" i="2"/>
  <c r="C27" i="2"/>
  <c r="G36" i="2"/>
  <c r="C20" i="2"/>
  <c r="D20" i="2"/>
  <c r="H20" i="2"/>
  <c r="G28" i="2"/>
  <c r="D31" i="2"/>
  <c r="G34" i="2"/>
  <c r="G35" i="2"/>
  <c r="D36" i="2"/>
  <c r="H39" i="2"/>
  <c r="M7" i="1"/>
  <c r="F26" i="2"/>
  <c r="F25" i="2"/>
  <c r="C26" i="2"/>
  <c r="G26" i="2"/>
  <c r="D27" i="2"/>
  <c r="H27" i="2"/>
  <c r="C25" i="2"/>
  <c r="D26" i="2"/>
  <c r="H26" i="2"/>
  <c r="E27" i="2"/>
  <c r="C29" i="2"/>
  <c r="G29" i="2"/>
  <c r="D30" i="2"/>
  <c r="H30" i="2"/>
  <c r="E31" i="2"/>
  <c r="C33" i="2"/>
  <c r="G33" i="2"/>
  <c r="D34" i="2"/>
  <c r="H34" i="2"/>
  <c r="E35" i="2"/>
  <c r="C37" i="2"/>
  <c r="G37" i="2"/>
  <c r="D38" i="2"/>
  <c r="H38" i="2"/>
  <c r="E39" i="2"/>
  <c r="D29" i="2"/>
  <c r="H29" i="2"/>
  <c r="E30" i="2"/>
  <c r="D33" i="2"/>
  <c r="H33" i="2"/>
  <c r="E34" i="2"/>
  <c r="D37" i="2"/>
  <c r="H37" i="2"/>
  <c r="E38" i="2"/>
  <c r="E29" i="2"/>
  <c r="E33" i="2"/>
  <c r="E37" i="2"/>
</calcChain>
</file>

<file path=xl/sharedStrings.xml><?xml version="1.0" encoding="utf-8"?>
<sst xmlns="http://schemas.openxmlformats.org/spreadsheetml/2006/main" count="132" uniqueCount="95">
  <si>
    <t>見積件数</t>
  </si>
  <si>
    <t>見積総額（税抜）</t>
  </si>
  <si>
    <t>進行中</t>
  </si>
  <si>
    <t>受注件数</t>
  </si>
  <si>
    <t>受注金額（税抜）</t>
  </si>
  <si>
    <t>受注率（件数）</t>
  </si>
  <si>
    <t>期限が近い・切れ</t>
  </si>
  <si>
    <t>No</t>
  </si>
  <si>
    <t>見積番号</t>
  </si>
  <si>
    <t>見積日</t>
  </si>
  <si>
    <t>顧客名</t>
  </si>
  <si>
    <t>件名</t>
  </si>
  <si>
    <t>担当者</t>
  </si>
  <si>
    <t>金額（税抜）</t>
  </si>
  <si>
    <t>消費税</t>
  </si>
  <si>
    <t>合計（税込）</t>
  </si>
  <si>
    <t>有効期限</t>
  </si>
  <si>
    <t>期限まで</t>
  </si>
  <si>
    <t>ステータス</t>
  </si>
  <si>
    <t>受注日</t>
  </si>
  <si>
    <t>備考</t>
  </si>
  <si>
    <t>Q2609-001</t>
  </si>
  <si>
    <t>株式会社○○商事</t>
  </si>
  <si>
    <r>
      <rPr>
        <sz val="9"/>
        <color rgb="FF0000FF"/>
        <rFont val="Meiryo"/>
        <family val="3"/>
        <charset val="128"/>
      </rPr>
      <t>Web</t>
    </r>
    <r>
      <rPr>
        <sz val="9"/>
        <color rgb="FF0000FF"/>
        <rFont val="Noto Sans CJK SC"/>
        <family val="2"/>
      </rPr>
      <t>サイト保守契約</t>
    </r>
  </si>
  <si>
    <t>佐藤</t>
  </si>
  <si>
    <t>受注</t>
  </si>
  <si>
    <t>年間契約</t>
  </si>
  <si>
    <t>Q2609-002</t>
  </si>
  <si>
    <t>○○工業株式会社</t>
  </si>
  <si>
    <t>社内システム改修</t>
  </si>
  <si>
    <t>鈴木</t>
  </si>
  <si>
    <t>失注</t>
  </si>
  <si>
    <t>価格で他社に決定</t>
  </si>
  <si>
    <t>Q2609-003</t>
  </si>
  <si>
    <t>有限会社○○</t>
  </si>
  <si>
    <t>チラシデザイン</t>
  </si>
  <si>
    <t>高橋</t>
  </si>
  <si>
    <r>
      <rPr>
        <sz val="9"/>
        <color rgb="FF0000FF"/>
        <rFont val="Noto Sans CJK SC"/>
        <family val="2"/>
      </rPr>
      <t>値引き</t>
    </r>
    <r>
      <rPr>
        <sz val="9"/>
        <color rgb="FF0000FF"/>
        <rFont val="Meiryo"/>
        <family val="3"/>
        <charset val="128"/>
      </rPr>
      <t>1</t>
    </r>
    <r>
      <rPr>
        <sz val="9"/>
        <color rgb="FF0000FF"/>
        <rFont val="Noto Sans CJK SC"/>
        <family val="2"/>
      </rPr>
      <t>万円</t>
    </r>
  </si>
  <si>
    <t>Q2609-004</t>
  </si>
  <si>
    <t>○○市役所</t>
  </si>
  <si>
    <t>イベント運営支援</t>
  </si>
  <si>
    <t>田中</t>
  </si>
  <si>
    <t>Q2609-005</t>
  </si>
  <si>
    <t>株式会社○○</t>
  </si>
  <si>
    <r>
      <rPr>
        <sz val="9"/>
        <color rgb="FF0000FF"/>
        <rFont val="Meiryo"/>
        <family val="3"/>
        <charset val="128"/>
      </rPr>
      <t>EC</t>
    </r>
    <r>
      <rPr>
        <sz val="9"/>
        <color rgb="FF0000FF"/>
        <rFont val="Noto Sans CJK SC"/>
        <family val="2"/>
      </rPr>
      <t>サイト構築</t>
    </r>
  </si>
  <si>
    <t>交渉中</t>
  </si>
  <si>
    <t>仕様の再確認中</t>
  </si>
  <si>
    <t>Q2610-001</t>
  </si>
  <si>
    <t>○○物産株式会社</t>
  </si>
  <si>
    <t>パンフレット制作</t>
  </si>
  <si>
    <t>提出済</t>
  </si>
  <si>
    <t>Q2610-002</t>
  </si>
  <si>
    <t>○○クリニック</t>
  </si>
  <si>
    <t>予約システム導入</t>
  </si>
  <si>
    <t>来週打ち合わせ</t>
  </si>
  <si>
    <t>Q2610-003</t>
  </si>
  <si>
    <t>株式会社○○設計</t>
  </si>
  <si>
    <r>
      <rPr>
        <sz val="9"/>
        <color rgb="FF0000FF"/>
        <rFont val="Meiryo"/>
        <family val="3"/>
        <charset val="128"/>
      </rPr>
      <t>CAD</t>
    </r>
    <r>
      <rPr>
        <sz val="9"/>
        <color rgb="FF0000FF"/>
        <rFont val="Noto Sans CJK SC"/>
        <family val="2"/>
      </rPr>
      <t>研修</t>
    </r>
  </si>
  <si>
    <t>伊藤</t>
  </si>
  <si>
    <t>Q2610-004</t>
  </si>
  <si>
    <t>○○食品株式会社</t>
  </si>
  <si>
    <t>商品撮影</t>
  </si>
  <si>
    <t>Q2610-005</t>
  </si>
  <si>
    <t>株式会社○○ホーム</t>
  </si>
  <si>
    <r>
      <rPr>
        <sz val="9"/>
        <color rgb="FF0000FF"/>
        <rFont val="Meiryo"/>
        <family val="3"/>
        <charset val="128"/>
      </rPr>
      <t>LP</t>
    </r>
    <r>
      <rPr>
        <sz val="9"/>
        <color rgb="FF0000FF"/>
        <rFont val="Noto Sans CJK SC"/>
        <family val="2"/>
      </rPr>
      <t>制作</t>
    </r>
  </si>
  <si>
    <t>Q2610-006</t>
  </si>
  <si>
    <t>○○運輸株式会社</t>
  </si>
  <si>
    <t>配送管理ツール</t>
  </si>
  <si>
    <t>作成中</t>
  </si>
  <si>
    <t>見積内訳を作成中</t>
  </si>
  <si>
    <t>Q2610-007</t>
  </si>
  <si>
    <t>○○学園</t>
  </si>
  <si>
    <t>オンライン講座収録</t>
  </si>
  <si>
    <t>見積の集計</t>
  </si>
  <si>
    <t>集計開始月</t>
  </si>
  <si>
    <r>
      <rPr>
        <sz val="8"/>
        <color rgb="FF777777"/>
        <rFont val="Noto Sans CJK SC"/>
        <family val="2"/>
      </rPr>
      <t>ここから</t>
    </r>
    <r>
      <rPr>
        <sz val="8"/>
        <color rgb="FF777777"/>
        <rFont val="Meiryo"/>
        <family val="3"/>
        <charset val="128"/>
      </rPr>
      <t>12</t>
    </r>
    <r>
      <rPr>
        <sz val="8"/>
        <color rgb="FF777777"/>
        <rFont val="Noto Sans CJK SC"/>
        <family val="2"/>
      </rPr>
      <t>か月分を集計します（見積日・受注日で分類）</t>
    </r>
  </si>
  <si>
    <t>月</t>
  </si>
  <si>
    <t>見積金額（税抜）</t>
  </si>
  <si>
    <t>受注率</t>
  </si>
  <si>
    <t>合計</t>
  </si>
  <si>
    <t>担当者別（全期間）</t>
  </si>
  <si>
    <t>設定</t>
  </si>
  <si>
    <t>消費税率</t>
  </si>
  <si>
    <r>
      <rPr>
        <sz val="8"/>
        <color rgb="FF777777"/>
        <rFont val="Noto Sans CJK SC"/>
        <family val="2"/>
      </rPr>
      <t>税額は</t>
    </r>
    <r>
      <rPr>
        <sz val="8"/>
        <color rgb="FF777777"/>
        <rFont val="Meiryo"/>
        <family val="3"/>
        <charset val="128"/>
      </rPr>
      <t>1</t>
    </r>
    <r>
      <rPr>
        <sz val="8"/>
        <color rgb="FF777777"/>
        <rFont val="Noto Sans CJK SC"/>
        <family val="2"/>
      </rPr>
      <t>円未満切り捨てで計算</t>
    </r>
  </si>
  <si>
    <t>見積の有効期間</t>
  </si>
  <si>
    <t>見積日からの日数</t>
  </si>
  <si>
    <t>期限が近い（日以内）</t>
  </si>
  <si>
    <t>この日数以内で黄色表示</t>
  </si>
  <si>
    <t>担当者一覧</t>
  </si>
  <si>
    <t>ステータス（固定）</t>
  </si>
  <si>
    <t>他にも魅力的な情報がたっぷり！テンプレート倉庫</t>
    <phoneticPr fontId="26"/>
  </si>
  <si>
    <t>受注金額
（税抜）</t>
    <phoneticPr fontId="26"/>
  </si>
  <si>
    <r>
      <rPr>
        <sz val="8"/>
        <color rgb="FFFF0000"/>
        <rFont val="Noto Sans CJK SC"/>
        <family val="2"/>
      </rPr>
      <t>受注率＝受注</t>
    </r>
    <r>
      <rPr>
        <sz val="8"/>
        <color rgb="FFFF0000"/>
        <rFont val="Meiryo"/>
        <family val="3"/>
        <charset val="128"/>
      </rPr>
      <t>÷</t>
    </r>
    <r>
      <rPr>
        <sz val="8"/>
        <color rgb="FFFF0000"/>
        <rFont val="Noto Sans CJK SC"/>
        <family val="2"/>
      </rPr>
      <t>（受注＋失注）。結果が出ていない見積（作成中・提出済・交渉中）は受注率の計算に含めません。</t>
    </r>
  </si>
  <si>
    <t>見積書管理台帳</t>
    <phoneticPr fontId="26"/>
  </si>
  <si>
    <t>紫色の欄に入力します。担当者は「設定」シートの一覧から、ステータスはプルダウンから選びます。税額・合計・有効期限・期限までの日数は自動で計算されます。</t>
    <rPh sb="0" eb="1">
      <t>ムラサキ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</si>
</sst>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&quot;件&quot;"/>
    <numFmt numFmtId="177" formatCode="\¥#,##0"/>
    <numFmt numFmtId="178" formatCode="0&quot;日&quot;;&quot;切れ &quot;0&quot;日&quot;;&quot;本日&quot;"/>
    <numFmt numFmtId="179" formatCode="0;;\-"/>
    <numFmt numFmtId="180" formatCode="#,##0;;\-"/>
    <numFmt numFmtId="181" formatCode="0&quot;日&quot;"/>
  </numFmts>
  <fonts count="36">
    <font>
      <sz val="11"/>
      <color theme="1"/>
      <name val="Calibri"/>
      <family val="2"/>
      <charset val="1"/>
    </font>
    <font>
      <b/>
      <sz val="22"/>
      <color rgb="FF2B2B2B"/>
      <name val="Meiryo"/>
      <family val="2"/>
    </font>
    <font>
      <sz val="8"/>
      <color rgb="FF7A6A3A"/>
      <name val="Meiryo"/>
      <family val="2"/>
    </font>
    <font>
      <sz val="8"/>
      <color rgb="FF666666"/>
      <name val="Meiryo"/>
      <family val="2"/>
    </font>
    <font>
      <b/>
      <sz val="14"/>
      <color rgb="FF2B2B2B"/>
      <name val="Meiryo"/>
      <family val="3"/>
      <charset val="128"/>
    </font>
    <font>
      <b/>
      <sz val="14"/>
      <color rgb="FFB03A2E"/>
      <name val="Meiryo"/>
      <family val="3"/>
      <charset val="128"/>
    </font>
    <font>
      <b/>
      <sz val="9"/>
      <color rgb="FFFFFFFF"/>
      <name val="Meiryo"/>
      <family val="3"/>
      <charset val="128"/>
    </font>
    <font>
      <b/>
      <sz val="9"/>
      <color rgb="FFFFFFFF"/>
      <name val="Meiryo"/>
      <family val="2"/>
    </font>
    <font>
      <sz val="9"/>
      <color rgb="FF999999"/>
      <name val="Meiryo"/>
      <family val="3"/>
      <charset val="128"/>
    </font>
    <font>
      <sz val="9"/>
      <color rgb="FF0000FF"/>
      <name val="Meiryo"/>
      <family val="3"/>
      <charset val="128"/>
    </font>
    <font>
      <sz val="9"/>
      <color rgb="FF0000FF"/>
      <name val="Meiryo"/>
      <family val="2"/>
    </font>
    <font>
      <sz val="10"/>
      <color rgb="FF0000FF"/>
      <name val="Meiryo"/>
      <family val="3"/>
      <charset val="128"/>
    </font>
    <font>
      <sz val="10"/>
      <color rgb="FF333333"/>
      <name val="Meiryo"/>
      <family val="3"/>
      <charset val="128"/>
    </font>
    <font>
      <b/>
      <sz val="10"/>
      <color rgb="FF333333"/>
      <name val="Meiryo"/>
      <family val="3"/>
      <charset val="128"/>
    </font>
    <font>
      <sz val="9"/>
      <color rgb="FF333333"/>
      <name val="Meiryo"/>
      <family val="3"/>
      <charset val="128"/>
    </font>
    <font>
      <b/>
      <sz val="18"/>
      <color rgb="FF2B2B2B"/>
      <name val="Meiryo"/>
      <family val="2"/>
    </font>
    <font>
      <b/>
      <sz val="10"/>
      <color rgb="FF333333"/>
      <name val="Meiryo"/>
      <family val="2"/>
    </font>
    <font>
      <sz val="8"/>
      <color rgb="FF777777"/>
      <name val="Meiryo"/>
      <family val="2"/>
    </font>
    <font>
      <sz val="8"/>
      <color rgb="FF777777"/>
      <name val="Meiryo"/>
      <family val="3"/>
      <charset val="128"/>
    </font>
    <font>
      <b/>
      <sz val="12"/>
      <color rgb="FF2B2B2B"/>
      <name val="Meiryo"/>
      <family val="2"/>
    </font>
    <font>
      <b/>
      <sz val="16"/>
      <color rgb="FF2B2B2B"/>
      <name val="Meiryo"/>
      <family val="2"/>
    </font>
    <font>
      <b/>
      <sz val="10"/>
      <color rgb="FFFFFFFF"/>
      <name val="Meiryo"/>
      <family val="2"/>
    </font>
    <font>
      <sz val="10"/>
      <color rgb="FF0000FF"/>
      <name val="Meiryo"/>
      <family val="2"/>
    </font>
    <font>
      <sz val="10"/>
      <color rgb="FF333333"/>
      <name val="Meiryo"/>
      <family val="2"/>
    </font>
    <font>
      <sz val="9"/>
      <color rgb="FF0000FF"/>
      <name val="Noto Sans CJK SC"/>
      <family val="2"/>
    </font>
    <font>
      <sz val="8"/>
      <color rgb="FF777777"/>
      <name val="Noto Sans CJK SC"/>
      <family val="2"/>
    </font>
    <font>
      <sz val="6"/>
      <name val="ＭＳ Ｐゴシック"/>
      <family val="3"/>
      <charset val="128"/>
    </font>
    <font>
      <u/>
      <sz val="11"/>
      <color theme="10"/>
      <name val="Calibri"/>
      <family val="2"/>
      <charset val="1"/>
    </font>
    <font>
      <b/>
      <u/>
      <sz val="22"/>
      <color rgb="FF2F75B5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8"/>
      <color rgb="FF333333"/>
      <name val="Meiryo"/>
      <family val="3"/>
      <charset val="128"/>
    </font>
    <font>
      <sz val="8"/>
      <color rgb="FF0000FF"/>
      <name val="Meiryo"/>
      <family val="3"/>
      <charset val="128"/>
    </font>
    <font>
      <b/>
      <sz val="9"/>
      <color rgb="FFFF0000"/>
      <name val="Meiryo"/>
      <family val="3"/>
      <charset val="128"/>
    </font>
    <font>
      <sz val="8"/>
      <color rgb="FFFF0000"/>
      <name val="Meiryo"/>
      <family val="2"/>
    </font>
    <font>
      <sz val="8"/>
      <color rgb="FFFF0000"/>
      <name val="Noto Sans CJK SC"/>
      <family val="2"/>
    </font>
    <font>
      <sz val="8"/>
      <color rgb="FFFF0000"/>
      <name val="Meiry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6EFD9"/>
        <bgColor rgb="FFFFE9C7"/>
      </patternFill>
    </fill>
    <fill>
      <patternFill patternType="solid">
        <fgColor rgb="FF2B2B2B"/>
        <bgColor rgb="FF333333"/>
      </patternFill>
    </fill>
    <fill>
      <patternFill patternType="solid">
        <fgColor rgb="FFF2F0F6"/>
        <bgColor rgb="FFDDEBF7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B8860B"/>
      </bottom>
      <diagonal/>
    </border>
    <border>
      <left/>
      <right/>
      <top/>
      <bottom style="thin">
        <color rgb="FFB8860B"/>
      </bottom>
      <diagonal/>
    </border>
    <border>
      <left style="hair">
        <color rgb="FFE3DED2"/>
      </left>
      <right style="hair">
        <color rgb="FFE3DED2"/>
      </right>
      <top/>
      <bottom style="thin">
        <color rgb="FFD9D4C7"/>
      </bottom>
      <diagonal/>
    </border>
    <border>
      <left/>
      <right/>
      <top/>
      <bottom style="thin">
        <color rgb="FFD9D4C7"/>
      </bottom>
      <diagonal/>
    </border>
    <border>
      <left/>
      <right/>
      <top style="medium">
        <color rgb="FFB8860B"/>
      </top>
      <bottom style="thin">
        <color rgb="FFB8860B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50">
    <xf numFmtId="0" fontId="0" fillId="0" borderId="0" xfId="0"/>
    <xf numFmtId="0" fontId="17" fillId="0" borderId="0" xfId="0" applyFont="1" applyAlignment="1">
      <alignment horizontal="left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/>
    <xf numFmtId="0" fontId="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right" vertical="center"/>
    </xf>
    <xf numFmtId="3" fontId="13" fillId="0" borderId="3" xfId="0" applyNumberFormat="1" applyFont="1" applyBorder="1" applyAlignment="1">
      <alignment horizontal="right" vertical="center"/>
    </xf>
    <xf numFmtId="178" fontId="14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55" fontId="12" fillId="0" borderId="4" xfId="0" applyNumberFormat="1" applyFont="1" applyBorder="1" applyAlignment="1">
      <alignment horizontal="center" vertical="center"/>
    </xf>
    <xf numFmtId="179" fontId="12" fillId="0" borderId="4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right" vertical="center"/>
    </xf>
    <xf numFmtId="9" fontId="12" fillId="0" borderId="4" xfId="0" applyNumberFormat="1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" fontId="13" fillId="2" borderId="5" xfId="0" applyNumberFormat="1" applyFont="1" applyFill="1" applyBorder="1" applyAlignment="1">
      <alignment horizontal="center" vertical="center"/>
    </xf>
    <xf numFmtId="3" fontId="13" fillId="2" borderId="5" xfId="0" applyNumberFormat="1" applyFont="1" applyFill="1" applyBorder="1" applyAlignment="1">
      <alignment horizontal="right" vertical="center"/>
    </xf>
    <xf numFmtId="9" fontId="13" fillId="2" borderId="5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0" fontId="23" fillId="0" borderId="4" xfId="0" applyFont="1" applyBorder="1" applyAlignment="1">
      <alignment horizontal="left" vertical="center" indent="1"/>
    </xf>
    <xf numFmtId="0" fontId="9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indent="1"/>
    </xf>
    <xf numFmtId="0" fontId="10" fillId="4" borderId="3" xfId="0" applyFont="1" applyFill="1" applyBorder="1" applyAlignment="1">
      <alignment horizontal="center" vertical="center"/>
    </xf>
    <xf numFmtId="3" fontId="11" fillId="4" borderId="3" xfId="0" applyNumberFormat="1" applyFont="1" applyFill="1" applyBorder="1" applyAlignment="1">
      <alignment horizontal="right" vertical="center"/>
    </xf>
    <xf numFmtId="0" fontId="28" fillId="0" borderId="0" xfId="1" applyFont="1" applyAlignment="1">
      <alignment vertical="center"/>
    </xf>
    <xf numFmtId="0" fontId="29" fillId="0" borderId="0" xfId="0" applyFont="1" applyAlignment="1">
      <alignment vertical="center"/>
    </xf>
    <xf numFmtId="14" fontId="30" fillId="0" borderId="3" xfId="0" applyNumberFormat="1" applyFont="1" applyBorder="1" applyAlignment="1">
      <alignment horizontal="center" vertical="center"/>
    </xf>
    <xf numFmtId="14" fontId="31" fillId="4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55" fontId="11" fillId="4" borderId="4" xfId="0" applyNumberFormat="1" applyFont="1" applyFill="1" applyBorder="1" applyAlignment="1">
      <alignment horizontal="center" vertical="center"/>
    </xf>
    <xf numFmtId="9" fontId="11" fillId="4" borderId="4" xfId="0" applyNumberFormat="1" applyFont="1" applyFill="1" applyBorder="1" applyAlignment="1">
      <alignment horizontal="center" vertical="center"/>
    </xf>
    <xf numFmtId="181" fontId="11" fillId="4" borderId="4" xfId="0" applyNumberFormat="1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176" fontId="4" fillId="2" borderId="2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8">
    <dxf>
      <font>
        <b/>
        <color rgb="FF666666"/>
      </font>
      <fill>
        <patternFill>
          <bgColor rgb="FFF3F3F3"/>
        </patternFill>
      </fill>
    </dxf>
    <dxf>
      <font>
        <b/>
        <color rgb="FF1F5E99"/>
      </font>
      <fill>
        <patternFill>
          <bgColor rgb="FFDDEBF7"/>
        </patternFill>
      </fill>
    </dxf>
    <dxf>
      <font>
        <b/>
        <color rgb="FF9A5B00"/>
      </font>
      <fill>
        <patternFill>
          <bgColor rgb="FFFFE9C7"/>
        </patternFill>
      </fill>
    </dxf>
    <dxf>
      <font>
        <b/>
        <color rgb="FF7F7F7F"/>
      </font>
      <fill>
        <patternFill>
          <bgColor rgb="FFE9E9E9"/>
        </patternFill>
      </fill>
    </dxf>
    <dxf>
      <font>
        <b/>
        <color rgb="FF1E7B4A"/>
      </font>
      <fill>
        <patternFill>
          <bgColor rgb="FFD8EFE2"/>
        </patternFill>
      </fill>
    </dxf>
    <dxf>
      <font>
        <b/>
        <color rgb="FF7A5A00"/>
      </font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color rgb="FFA6A6A6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6A3A"/>
      <rgbColor rgb="FF800080"/>
      <rgbColor rgb="FF1E7B4A"/>
      <rgbColor rgb="FFD9D4C7"/>
      <rgbColor rgb="FF7F7F7F"/>
      <rgbColor rgb="FFA6A6A6"/>
      <rgbColor rgb="FF9A5B00"/>
      <rgbColor rgb="FFF6EFD9"/>
      <rgbColor rgb="FFDDEBF7"/>
      <rgbColor rgb="FF660066"/>
      <rgbColor rgb="FFFF8080"/>
      <rgbColor rgb="FF1F5E99"/>
      <rgbColor rgb="FFE3DE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F0FA"/>
      <rgbColor rgb="FFD8EFE2"/>
      <rgbColor rgb="FFFFE9C7"/>
      <rgbColor rgb="FFE9E9E9"/>
      <rgbColor rgb="FFF5B7B1"/>
      <rgbColor rgb="FFF3F3F3"/>
      <rgbColor rgb="FFFFE08A"/>
      <rgbColor rgb="FF3366FF"/>
      <rgbColor rgb="FF33CCCC"/>
      <rgbColor rgb="FF99CC00"/>
      <rgbColor rgb="FFFFCC00"/>
      <rgbColor rgb="FFB8860B"/>
      <rgbColor rgb="FFFF6600"/>
      <rgbColor rgb="FF666666"/>
      <rgbColor rgb="FF999999"/>
      <rgbColor rgb="FF003366"/>
      <rgbColor rgb="FF777777"/>
      <rgbColor rgb="FF003300"/>
      <rgbColor rgb="FF2B2B2B"/>
      <rgbColor rgb="FFB03A2E"/>
      <rgbColor rgb="FF7A5A0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0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mplate-soko.com/" TargetMode="External"/><Relationship Id="rId1" Type="http://schemas.openxmlformats.org/officeDocument/2006/relationships/hyperlink" Target="http://www.template-soko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emplate-soko.com/" TargetMode="External"/><Relationship Id="rId1" Type="http://schemas.openxmlformats.org/officeDocument/2006/relationships/hyperlink" Target="http://www.template-soko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template-soko.com/" TargetMode="External"/><Relationship Id="rId1" Type="http://schemas.openxmlformats.org/officeDocument/2006/relationships/hyperlink" Target="http://www.template-sok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09"/>
  <sheetViews>
    <sheetView showGridLines="0" tabSelected="1" zoomScaleNormal="100" workbookViewId="0"/>
  </sheetViews>
  <sheetFormatPr defaultColWidth="8.7109375" defaultRowHeight="15"/>
  <cols>
    <col min="1" max="1" width="2" customWidth="1"/>
    <col min="2" max="2" width="5" customWidth="1"/>
    <col min="3" max="3" width="12" customWidth="1"/>
    <col min="4" max="4" width="10.140625" customWidth="1"/>
    <col min="5" max="5" width="20" customWidth="1"/>
    <col min="6" max="6" width="26" customWidth="1"/>
    <col min="7" max="7" width="9" customWidth="1"/>
    <col min="8" max="8" width="13" customWidth="1"/>
    <col min="9" max="9" width="11" customWidth="1"/>
    <col min="10" max="10" width="13" customWidth="1"/>
    <col min="11" max="11" width="10.42578125" customWidth="1"/>
    <col min="12" max="12" width="9" customWidth="1"/>
    <col min="13" max="13" width="10" customWidth="1"/>
    <col min="14" max="14" width="10.5703125" customWidth="1"/>
    <col min="15" max="15" width="14" customWidth="1"/>
    <col min="16" max="16" width="22" customWidth="1"/>
  </cols>
  <sheetData>
    <row r="1" spans="1:35" s="34" customFormat="1" ht="45" customHeight="1">
      <c r="A1" s="33" t="s">
        <v>90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1:35" ht="28.5" customHeight="1">
      <c r="B2" s="37" t="s">
        <v>94</v>
      </c>
    </row>
    <row r="3" spans="1:35" ht="37.5" customHeight="1">
      <c r="B3" s="4" t="s">
        <v>93</v>
      </c>
    </row>
    <row r="4" spans="1:35" ht="6" customHeight="1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6" spans="1:35" ht="18" customHeight="1">
      <c r="B6" s="42" t="s">
        <v>0</v>
      </c>
      <c r="C6" s="42"/>
      <c r="D6" s="42" t="s">
        <v>1</v>
      </c>
      <c r="E6" s="42"/>
      <c r="F6" s="3" t="s">
        <v>2</v>
      </c>
      <c r="G6" s="42" t="s">
        <v>3</v>
      </c>
      <c r="H6" s="42"/>
      <c r="I6" s="42" t="s">
        <v>4</v>
      </c>
      <c r="J6" s="42"/>
      <c r="K6" s="42" t="s">
        <v>5</v>
      </c>
      <c r="L6" s="42"/>
      <c r="M6" s="42" t="s">
        <v>6</v>
      </c>
      <c r="N6" s="42"/>
      <c r="O6" s="43"/>
      <c r="P6" s="43"/>
    </row>
    <row r="7" spans="1:35" ht="30" customHeight="1">
      <c r="B7" s="44">
        <f>COUNT($D$10:$D$209)</f>
        <v>12</v>
      </c>
      <c r="C7" s="44"/>
      <c r="D7" s="45">
        <f>SUM($H$10:$H$209)</f>
        <v>10050000</v>
      </c>
      <c r="E7" s="45"/>
      <c r="F7" s="2">
        <f>COUNTIF($M$10:$M$209,"作成中")+COUNTIF($M$10:$M$209,"提出済")+COUNTIF($M$10:$M$209,"交渉中")</f>
        <v>7</v>
      </c>
      <c r="G7" s="44">
        <f>COUNTIF($M$10:$M$209,"受注")</f>
        <v>4</v>
      </c>
      <c r="H7" s="44"/>
      <c r="I7" s="45">
        <f>SUMIF($M$10:$M$209,"受注",$O$10:$O$209)</f>
        <v>1730000</v>
      </c>
      <c r="J7" s="45"/>
      <c r="K7" s="46">
        <f>IFERROR(COUNTIF($M$10:$M$209,"受注")/(COUNTIF($M$10:$M$209,"受注")+COUNTIF($M$10:$M$209,"失注")),"")</f>
        <v>0.8</v>
      </c>
      <c r="L7" s="46"/>
      <c r="M7" s="47">
        <f ca="1">COUNTIF($L$10:$L$209,"&lt;="&amp;設定!$C$6)</f>
        <v>3</v>
      </c>
      <c r="N7" s="47"/>
      <c r="O7" s="43"/>
      <c r="P7" s="43"/>
    </row>
    <row r="8" spans="1:35" ht="7.5" customHeight="1"/>
    <row r="9" spans="1:35" ht="30" customHeight="1">
      <c r="B9" s="6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16</v>
      </c>
      <c r="L9" s="7" t="s">
        <v>17</v>
      </c>
      <c r="M9" s="7" t="s">
        <v>18</v>
      </c>
      <c r="N9" s="7" t="s">
        <v>19</v>
      </c>
      <c r="O9" s="7" t="s">
        <v>91</v>
      </c>
      <c r="P9" s="7" t="s">
        <v>20</v>
      </c>
    </row>
    <row r="10" spans="1:35" ht="19.5" customHeight="1">
      <c r="B10" s="8">
        <f>IF(D10="","",COUNT($D$10:D10))</f>
        <v>1</v>
      </c>
      <c r="C10" s="28" t="s">
        <v>21</v>
      </c>
      <c r="D10" s="36">
        <v>46266</v>
      </c>
      <c r="E10" s="29" t="s">
        <v>22</v>
      </c>
      <c r="F10" s="30" t="s">
        <v>23</v>
      </c>
      <c r="G10" s="31" t="s">
        <v>24</v>
      </c>
      <c r="H10" s="32">
        <v>360000</v>
      </c>
      <c r="I10" s="9">
        <f>IF(H10="","",ROUNDDOWN(H10*設定!$C$4,0))</f>
        <v>36000</v>
      </c>
      <c r="J10" s="10">
        <f t="shared" ref="J10:J41" si="0">IF(H10="","",H10+I10)</f>
        <v>396000</v>
      </c>
      <c r="K10" s="35">
        <f>IF(D10="","",D10+設定!$C$5)</f>
        <v>46296</v>
      </c>
      <c r="L10" s="11" t="str">
        <f t="shared" ref="L10:L41" ca="1" si="1">IF(OR(D10="",M10="受注",M10="失注"),"",K10-TODAY())</f>
        <v/>
      </c>
      <c r="M10" s="31" t="s">
        <v>25</v>
      </c>
      <c r="N10" s="36">
        <v>46280</v>
      </c>
      <c r="O10" s="32">
        <v>360000</v>
      </c>
      <c r="P10" s="29" t="s">
        <v>26</v>
      </c>
    </row>
    <row r="11" spans="1:35" ht="19.5" customHeight="1">
      <c r="B11" s="8">
        <f>IF(D11="","",COUNT($D$10:D11))</f>
        <v>2</v>
      </c>
      <c r="C11" s="28" t="s">
        <v>27</v>
      </c>
      <c r="D11" s="36">
        <v>46269</v>
      </c>
      <c r="E11" s="29" t="s">
        <v>28</v>
      </c>
      <c r="F11" s="29" t="s">
        <v>29</v>
      </c>
      <c r="G11" s="31" t="s">
        <v>30</v>
      </c>
      <c r="H11" s="32">
        <v>1850000</v>
      </c>
      <c r="I11" s="9">
        <f>IF(H11="","",ROUNDDOWN(H11*設定!$C$4,0))</f>
        <v>185000</v>
      </c>
      <c r="J11" s="10">
        <f t="shared" si="0"/>
        <v>2035000</v>
      </c>
      <c r="K11" s="35">
        <f>IF(D11="","",D11+設定!$C$5)</f>
        <v>46299</v>
      </c>
      <c r="L11" s="11" t="str">
        <f t="shared" ca="1" si="1"/>
        <v/>
      </c>
      <c r="M11" s="31" t="s">
        <v>31</v>
      </c>
      <c r="N11" s="36"/>
      <c r="O11" s="32"/>
      <c r="P11" s="29" t="s">
        <v>32</v>
      </c>
    </row>
    <row r="12" spans="1:35" ht="19.5" customHeight="1">
      <c r="B12" s="8">
        <f>IF(D12="","",COUNT($D$10:D12))</f>
        <v>3</v>
      </c>
      <c r="C12" s="28" t="s">
        <v>33</v>
      </c>
      <c r="D12" s="36">
        <v>46275</v>
      </c>
      <c r="E12" s="29" t="s">
        <v>34</v>
      </c>
      <c r="F12" s="29" t="s">
        <v>35</v>
      </c>
      <c r="G12" s="31" t="s">
        <v>36</v>
      </c>
      <c r="H12" s="32">
        <v>120000</v>
      </c>
      <c r="I12" s="9">
        <f>IF(H12="","",ROUNDDOWN(H12*設定!$C$4,0))</f>
        <v>12000</v>
      </c>
      <c r="J12" s="10">
        <f t="shared" si="0"/>
        <v>132000</v>
      </c>
      <c r="K12" s="35">
        <f>IF(D12="","",D12+設定!$C$5)</f>
        <v>46305</v>
      </c>
      <c r="L12" s="11" t="str">
        <f t="shared" ca="1" si="1"/>
        <v/>
      </c>
      <c r="M12" s="31" t="s">
        <v>25</v>
      </c>
      <c r="N12" s="36">
        <v>46283</v>
      </c>
      <c r="O12" s="32">
        <v>110000</v>
      </c>
      <c r="P12" s="29" t="s">
        <v>37</v>
      </c>
    </row>
    <row r="13" spans="1:35" ht="19.5" customHeight="1">
      <c r="B13" s="8">
        <f>IF(D13="","",COUNT($D$10:D13))</f>
        <v>4</v>
      </c>
      <c r="C13" s="28" t="s">
        <v>38</v>
      </c>
      <c r="D13" s="36">
        <v>46281</v>
      </c>
      <c r="E13" s="29" t="s">
        <v>39</v>
      </c>
      <c r="F13" s="29" t="s">
        <v>40</v>
      </c>
      <c r="G13" s="31" t="s">
        <v>41</v>
      </c>
      <c r="H13" s="32">
        <v>980000</v>
      </c>
      <c r="I13" s="9">
        <f>IF(H13="","",ROUNDDOWN(H13*設定!$C$4,0))</f>
        <v>98000</v>
      </c>
      <c r="J13" s="10">
        <f t="shared" si="0"/>
        <v>1078000</v>
      </c>
      <c r="K13" s="35">
        <f>IF(D13="","",D13+設定!$C$5)</f>
        <v>46311</v>
      </c>
      <c r="L13" s="11" t="str">
        <f t="shared" ca="1" si="1"/>
        <v/>
      </c>
      <c r="M13" s="31" t="s">
        <v>25</v>
      </c>
      <c r="N13" s="36">
        <v>46300</v>
      </c>
      <c r="O13" s="32">
        <v>980000</v>
      </c>
      <c r="P13" s="29"/>
    </row>
    <row r="14" spans="1:35" ht="19.5" customHeight="1">
      <c r="B14" s="8">
        <f>IF(D14="","",COUNT($D$10:D14))</f>
        <v>5</v>
      </c>
      <c r="C14" s="28" t="s">
        <v>42</v>
      </c>
      <c r="D14" s="36">
        <v>46289</v>
      </c>
      <c r="E14" s="29" t="s">
        <v>43</v>
      </c>
      <c r="F14" s="30" t="s">
        <v>44</v>
      </c>
      <c r="G14" s="31" t="s">
        <v>24</v>
      </c>
      <c r="H14" s="32">
        <v>2600000</v>
      </c>
      <c r="I14" s="9">
        <f>IF(H14="","",ROUNDDOWN(H14*設定!$C$4,0))</f>
        <v>260000</v>
      </c>
      <c r="J14" s="10">
        <f t="shared" si="0"/>
        <v>2860000</v>
      </c>
      <c r="K14" s="35">
        <f>IF(D14="","",D14+設定!$C$5)</f>
        <v>46319</v>
      </c>
      <c r="L14" s="11">
        <f t="shared" ca="1" si="1"/>
        <v>-6</v>
      </c>
      <c r="M14" s="31" t="s">
        <v>45</v>
      </c>
      <c r="N14" s="36"/>
      <c r="O14" s="32"/>
      <c r="P14" s="29" t="s">
        <v>46</v>
      </c>
    </row>
    <row r="15" spans="1:35" ht="19.5" customHeight="1">
      <c r="B15" s="8">
        <f>IF(D15="","",COUNT($D$10:D15))</f>
        <v>6</v>
      </c>
      <c r="C15" s="28" t="s">
        <v>47</v>
      </c>
      <c r="D15" s="36">
        <v>46296</v>
      </c>
      <c r="E15" s="29" t="s">
        <v>48</v>
      </c>
      <c r="F15" s="29" t="s">
        <v>49</v>
      </c>
      <c r="G15" s="31" t="s">
        <v>36</v>
      </c>
      <c r="H15" s="32">
        <v>450000</v>
      </c>
      <c r="I15" s="9">
        <f>IF(H15="","",ROUNDDOWN(H15*設定!$C$4,0))</f>
        <v>45000</v>
      </c>
      <c r="J15" s="10">
        <f t="shared" si="0"/>
        <v>495000</v>
      </c>
      <c r="K15" s="35">
        <f>IF(D15="","",D15+設定!$C$5)</f>
        <v>46326</v>
      </c>
      <c r="L15" s="11">
        <f t="shared" ca="1" si="1"/>
        <v>1</v>
      </c>
      <c r="M15" s="31" t="s">
        <v>50</v>
      </c>
      <c r="N15" s="36"/>
      <c r="O15" s="32"/>
      <c r="P15" s="29"/>
    </row>
    <row r="16" spans="1:35" ht="19.5" customHeight="1">
      <c r="B16" s="8">
        <f>IF(D16="","",COUNT($D$10:D16))</f>
        <v>7</v>
      </c>
      <c r="C16" s="28" t="s">
        <v>51</v>
      </c>
      <c r="D16" s="36">
        <v>46301</v>
      </c>
      <c r="E16" s="29" t="s">
        <v>52</v>
      </c>
      <c r="F16" s="29" t="s">
        <v>53</v>
      </c>
      <c r="G16" s="31" t="s">
        <v>30</v>
      </c>
      <c r="H16" s="32">
        <v>720000</v>
      </c>
      <c r="I16" s="9">
        <f>IF(H16="","",ROUNDDOWN(H16*設定!$C$4,0))</f>
        <v>72000</v>
      </c>
      <c r="J16" s="10">
        <f t="shared" si="0"/>
        <v>792000</v>
      </c>
      <c r="K16" s="35">
        <f>IF(D16="","",D16+設定!$C$5)</f>
        <v>46331</v>
      </c>
      <c r="L16" s="11">
        <f t="shared" ca="1" si="1"/>
        <v>6</v>
      </c>
      <c r="M16" s="31" t="s">
        <v>45</v>
      </c>
      <c r="N16" s="36"/>
      <c r="O16" s="32"/>
      <c r="P16" s="29" t="s">
        <v>54</v>
      </c>
    </row>
    <row r="17" spans="2:16" ht="19.5" customHeight="1">
      <c r="B17" s="8">
        <f>IF(D17="","",COUNT($D$10:D17))</f>
        <v>8</v>
      </c>
      <c r="C17" s="28" t="s">
        <v>55</v>
      </c>
      <c r="D17" s="36">
        <v>46304</v>
      </c>
      <c r="E17" s="29" t="s">
        <v>56</v>
      </c>
      <c r="F17" s="30" t="s">
        <v>57</v>
      </c>
      <c r="G17" s="31" t="s">
        <v>58</v>
      </c>
      <c r="H17" s="32">
        <v>280000</v>
      </c>
      <c r="I17" s="9">
        <f>IF(H17="","",ROUNDDOWN(H17*設定!$C$4,0))</f>
        <v>28000</v>
      </c>
      <c r="J17" s="10">
        <f t="shared" si="0"/>
        <v>308000</v>
      </c>
      <c r="K17" s="35">
        <f>IF(D17="","",D17+設定!$C$5)</f>
        <v>46334</v>
      </c>
      <c r="L17" s="11" t="str">
        <f t="shared" ca="1" si="1"/>
        <v/>
      </c>
      <c r="M17" s="31" t="s">
        <v>25</v>
      </c>
      <c r="N17" s="36">
        <v>46315</v>
      </c>
      <c r="O17" s="32">
        <v>280000</v>
      </c>
      <c r="P17" s="29"/>
    </row>
    <row r="18" spans="2:16" ht="19.5" customHeight="1">
      <c r="B18" s="8">
        <f>IF(D18="","",COUNT($D$10:D18))</f>
        <v>9</v>
      </c>
      <c r="C18" s="28" t="s">
        <v>59</v>
      </c>
      <c r="D18" s="36">
        <v>46310</v>
      </c>
      <c r="E18" s="29" t="s">
        <v>60</v>
      </c>
      <c r="F18" s="29" t="s">
        <v>61</v>
      </c>
      <c r="G18" s="31" t="s">
        <v>36</v>
      </c>
      <c r="H18" s="32">
        <v>190000</v>
      </c>
      <c r="I18" s="9">
        <f>IF(H18="","",ROUNDDOWN(H18*設定!$C$4,0))</f>
        <v>19000</v>
      </c>
      <c r="J18" s="10">
        <f t="shared" si="0"/>
        <v>209000</v>
      </c>
      <c r="K18" s="35">
        <f>IF(D18="","",D18+設定!$C$5)</f>
        <v>46340</v>
      </c>
      <c r="L18" s="11">
        <f t="shared" ca="1" si="1"/>
        <v>15</v>
      </c>
      <c r="M18" s="31" t="s">
        <v>50</v>
      </c>
      <c r="N18" s="36"/>
      <c r="O18" s="32"/>
      <c r="P18" s="29"/>
    </row>
    <row r="19" spans="2:16" ht="19.5" customHeight="1">
      <c r="B19" s="8">
        <f>IF(D19="","",COUNT($D$10:D19))</f>
        <v>10</v>
      </c>
      <c r="C19" s="28" t="s">
        <v>62</v>
      </c>
      <c r="D19" s="36">
        <v>46317</v>
      </c>
      <c r="E19" s="29" t="s">
        <v>63</v>
      </c>
      <c r="F19" s="30" t="s">
        <v>64</v>
      </c>
      <c r="G19" s="31" t="s">
        <v>24</v>
      </c>
      <c r="H19" s="32">
        <v>540000</v>
      </c>
      <c r="I19" s="9">
        <f>IF(H19="","",ROUNDDOWN(H19*設定!$C$4,0))</f>
        <v>54000</v>
      </c>
      <c r="J19" s="10">
        <f t="shared" si="0"/>
        <v>594000</v>
      </c>
      <c r="K19" s="35">
        <f>IF(D19="","",D19+設定!$C$5)</f>
        <v>46347</v>
      </c>
      <c r="L19" s="11">
        <f t="shared" ca="1" si="1"/>
        <v>22</v>
      </c>
      <c r="M19" s="31" t="s">
        <v>50</v>
      </c>
      <c r="N19" s="36"/>
      <c r="O19" s="32"/>
      <c r="P19" s="29"/>
    </row>
    <row r="20" spans="2:16" ht="19.5" customHeight="1">
      <c r="B20" s="8">
        <f>IF(D20="","",COUNT($D$10:D20))</f>
        <v>11</v>
      </c>
      <c r="C20" s="28" t="s">
        <v>65</v>
      </c>
      <c r="D20" s="36">
        <v>46322</v>
      </c>
      <c r="E20" s="29" t="s">
        <v>66</v>
      </c>
      <c r="F20" s="29" t="s">
        <v>67</v>
      </c>
      <c r="G20" s="31" t="s">
        <v>30</v>
      </c>
      <c r="H20" s="32">
        <v>1320000</v>
      </c>
      <c r="I20" s="9">
        <f>IF(H20="","",ROUNDDOWN(H20*設定!$C$4,0))</f>
        <v>132000</v>
      </c>
      <c r="J20" s="10">
        <f t="shared" si="0"/>
        <v>1452000</v>
      </c>
      <c r="K20" s="35">
        <f>IF(D20="","",D20+設定!$C$5)</f>
        <v>46352</v>
      </c>
      <c r="L20" s="11">
        <f t="shared" ca="1" si="1"/>
        <v>27</v>
      </c>
      <c r="M20" s="31" t="s">
        <v>68</v>
      </c>
      <c r="N20" s="36"/>
      <c r="O20" s="32"/>
      <c r="P20" s="29" t="s">
        <v>69</v>
      </c>
    </row>
    <row r="21" spans="2:16" ht="19.5" customHeight="1">
      <c r="B21" s="8">
        <f>IF(D21="","",COUNT($D$10:D21))</f>
        <v>12</v>
      </c>
      <c r="C21" s="28" t="s">
        <v>70</v>
      </c>
      <c r="D21" s="36">
        <v>46324</v>
      </c>
      <c r="E21" s="29" t="s">
        <v>71</v>
      </c>
      <c r="F21" s="29" t="s">
        <v>72</v>
      </c>
      <c r="G21" s="31" t="s">
        <v>58</v>
      </c>
      <c r="H21" s="32">
        <v>640000</v>
      </c>
      <c r="I21" s="9">
        <f>IF(H21="","",ROUNDDOWN(H21*設定!$C$4,0))</f>
        <v>64000</v>
      </c>
      <c r="J21" s="10">
        <f t="shared" si="0"/>
        <v>704000</v>
      </c>
      <c r="K21" s="35">
        <f>IF(D21="","",D21+設定!$C$5)</f>
        <v>46354</v>
      </c>
      <c r="L21" s="11">
        <f t="shared" ca="1" si="1"/>
        <v>29</v>
      </c>
      <c r="M21" s="31" t="s">
        <v>68</v>
      </c>
      <c r="N21" s="36"/>
      <c r="O21" s="32"/>
      <c r="P21" s="29"/>
    </row>
    <row r="22" spans="2:16" ht="19.5" customHeight="1">
      <c r="B22" s="8" t="str">
        <f>IF(D22="","",COUNT($D$10:D22))</f>
        <v/>
      </c>
      <c r="C22" s="28"/>
      <c r="D22" s="36"/>
      <c r="E22" s="30"/>
      <c r="F22" s="30"/>
      <c r="G22" s="31"/>
      <c r="H22" s="32"/>
      <c r="I22" s="9" t="str">
        <f>IF(H22="","",ROUNDDOWN(H22*設定!$C$4,0))</f>
        <v/>
      </c>
      <c r="J22" s="10" t="str">
        <f t="shared" si="0"/>
        <v/>
      </c>
      <c r="K22" s="35" t="str">
        <f>IF(D22="","",D22+設定!$C$5)</f>
        <v/>
      </c>
      <c r="L22" s="11" t="str">
        <f t="shared" ca="1" si="1"/>
        <v/>
      </c>
      <c r="M22" s="31"/>
      <c r="N22" s="36"/>
      <c r="O22" s="32"/>
      <c r="P22" s="29"/>
    </row>
    <row r="23" spans="2:16" ht="19.5" customHeight="1">
      <c r="B23" s="8" t="str">
        <f>IF(D23="","",COUNT($D$10:D23))</f>
        <v/>
      </c>
      <c r="C23" s="28"/>
      <c r="D23" s="36"/>
      <c r="E23" s="30"/>
      <c r="F23" s="30"/>
      <c r="G23" s="31"/>
      <c r="H23" s="32"/>
      <c r="I23" s="9" t="str">
        <f>IF(H23="","",ROUNDDOWN(H23*設定!$C$4,0))</f>
        <v/>
      </c>
      <c r="J23" s="10" t="str">
        <f t="shared" si="0"/>
        <v/>
      </c>
      <c r="K23" s="35" t="str">
        <f>IF(D23="","",D23+設定!$C$5)</f>
        <v/>
      </c>
      <c r="L23" s="11" t="str">
        <f t="shared" ca="1" si="1"/>
        <v/>
      </c>
      <c r="M23" s="31"/>
      <c r="N23" s="36"/>
      <c r="O23" s="32"/>
      <c r="P23" s="29"/>
    </row>
    <row r="24" spans="2:16" ht="19.5" customHeight="1">
      <c r="B24" s="8" t="str">
        <f>IF(D24="","",COUNT($D$10:D24))</f>
        <v/>
      </c>
      <c r="C24" s="28"/>
      <c r="D24" s="36"/>
      <c r="E24" s="30"/>
      <c r="F24" s="30"/>
      <c r="G24" s="31"/>
      <c r="H24" s="32"/>
      <c r="I24" s="9" t="str">
        <f>IF(H24="","",ROUNDDOWN(H24*設定!$C$4,0))</f>
        <v/>
      </c>
      <c r="J24" s="10" t="str">
        <f t="shared" si="0"/>
        <v/>
      </c>
      <c r="K24" s="35" t="str">
        <f>IF(D24="","",D24+設定!$C$5)</f>
        <v/>
      </c>
      <c r="L24" s="11" t="str">
        <f t="shared" ca="1" si="1"/>
        <v/>
      </c>
      <c r="M24" s="31"/>
      <c r="N24" s="36"/>
      <c r="O24" s="32"/>
      <c r="P24" s="29"/>
    </row>
    <row r="25" spans="2:16" ht="19.5" customHeight="1">
      <c r="B25" s="8" t="str">
        <f>IF(D25="","",COUNT($D$10:D25))</f>
        <v/>
      </c>
      <c r="C25" s="28"/>
      <c r="D25" s="36"/>
      <c r="E25" s="30"/>
      <c r="F25" s="30"/>
      <c r="G25" s="31"/>
      <c r="H25" s="32"/>
      <c r="I25" s="9" t="str">
        <f>IF(H25="","",ROUNDDOWN(H25*設定!$C$4,0))</f>
        <v/>
      </c>
      <c r="J25" s="10" t="str">
        <f t="shared" si="0"/>
        <v/>
      </c>
      <c r="K25" s="35" t="str">
        <f>IF(D25="","",D25+設定!$C$5)</f>
        <v/>
      </c>
      <c r="L25" s="11" t="str">
        <f t="shared" ca="1" si="1"/>
        <v/>
      </c>
      <c r="M25" s="31"/>
      <c r="N25" s="36"/>
      <c r="O25" s="32"/>
      <c r="P25" s="29"/>
    </row>
    <row r="26" spans="2:16" ht="19.5" customHeight="1">
      <c r="B26" s="8" t="str">
        <f>IF(D26="","",COUNT($D$10:D26))</f>
        <v/>
      </c>
      <c r="C26" s="28"/>
      <c r="D26" s="36"/>
      <c r="E26" s="30"/>
      <c r="F26" s="30"/>
      <c r="G26" s="31"/>
      <c r="H26" s="32"/>
      <c r="I26" s="9" t="str">
        <f>IF(H26="","",ROUNDDOWN(H26*設定!$C$4,0))</f>
        <v/>
      </c>
      <c r="J26" s="10" t="str">
        <f t="shared" si="0"/>
        <v/>
      </c>
      <c r="K26" s="35" t="str">
        <f>IF(D26="","",D26+設定!$C$5)</f>
        <v/>
      </c>
      <c r="L26" s="11" t="str">
        <f t="shared" ca="1" si="1"/>
        <v/>
      </c>
      <c r="M26" s="31"/>
      <c r="N26" s="36"/>
      <c r="O26" s="32"/>
      <c r="P26" s="29"/>
    </row>
    <row r="27" spans="2:16" ht="19.5" customHeight="1">
      <c r="B27" s="8" t="str">
        <f>IF(D27="","",COUNT($D$10:D27))</f>
        <v/>
      </c>
      <c r="C27" s="28"/>
      <c r="D27" s="36"/>
      <c r="E27" s="30"/>
      <c r="F27" s="30"/>
      <c r="G27" s="31"/>
      <c r="H27" s="32"/>
      <c r="I27" s="9" t="str">
        <f>IF(H27="","",ROUNDDOWN(H27*設定!$C$4,0))</f>
        <v/>
      </c>
      <c r="J27" s="10" t="str">
        <f t="shared" si="0"/>
        <v/>
      </c>
      <c r="K27" s="35" t="str">
        <f>IF(D27="","",D27+設定!$C$5)</f>
        <v/>
      </c>
      <c r="L27" s="11" t="str">
        <f t="shared" ca="1" si="1"/>
        <v/>
      </c>
      <c r="M27" s="31"/>
      <c r="N27" s="36"/>
      <c r="O27" s="32"/>
      <c r="P27" s="29"/>
    </row>
    <row r="28" spans="2:16" ht="19.5" customHeight="1">
      <c r="B28" s="8" t="str">
        <f>IF(D28="","",COUNT($D$10:D28))</f>
        <v/>
      </c>
      <c r="C28" s="28"/>
      <c r="D28" s="36"/>
      <c r="E28" s="30"/>
      <c r="F28" s="30"/>
      <c r="G28" s="31"/>
      <c r="H28" s="32"/>
      <c r="I28" s="9" t="str">
        <f>IF(H28="","",ROUNDDOWN(H28*設定!$C$4,0))</f>
        <v/>
      </c>
      <c r="J28" s="10" t="str">
        <f t="shared" si="0"/>
        <v/>
      </c>
      <c r="K28" s="35" t="str">
        <f>IF(D28="","",D28+設定!$C$5)</f>
        <v/>
      </c>
      <c r="L28" s="11" t="str">
        <f t="shared" ca="1" si="1"/>
        <v/>
      </c>
      <c r="M28" s="31"/>
      <c r="N28" s="36"/>
      <c r="O28" s="32"/>
      <c r="P28" s="29"/>
    </row>
    <row r="29" spans="2:16" ht="19.5" customHeight="1">
      <c r="B29" s="8" t="str">
        <f>IF(D29="","",COUNT($D$10:D29))</f>
        <v/>
      </c>
      <c r="C29" s="28"/>
      <c r="D29" s="36"/>
      <c r="E29" s="30"/>
      <c r="F29" s="30"/>
      <c r="G29" s="31"/>
      <c r="H29" s="32"/>
      <c r="I29" s="9" t="str">
        <f>IF(H29="","",ROUNDDOWN(H29*設定!$C$4,0))</f>
        <v/>
      </c>
      <c r="J29" s="10" t="str">
        <f t="shared" si="0"/>
        <v/>
      </c>
      <c r="K29" s="35" t="str">
        <f>IF(D29="","",D29+設定!$C$5)</f>
        <v/>
      </c>
      <c r="L29" s="11" t="str">
        <f t="shared" ca="1" si="1"/>
        <v/>
      </c>
      <c r="M29" s="31"/>
      <c r="N29" s="36"/>
      <c r="O29" s="32"/>
      <c r="P29" s="29"/>
    </row>
    <row r="30" spans="2:16" ht="19.5" customHeight="1">
      <c r="B30" s="8" t="str">
        <f>IF(D30="","",COUNT($D$10:D30))</f>
        <v/>
      </c>
      <c r="C30" s="28"/>
      <c r="D30" s="36"/>
      <c r="E30" s="30"/>
      <c r="F30" s="30"/>
      <c r="G30" s="31"/>
      <c r="H30" s="32"/>
      <c r="I30" s="9" t="str">
        <f>IF(H30="","",ROUNDDOWN(H30*設定!$C$4,0))</f>
        <v/>
      </c>
      <c r="J30" s="10" t="str">
        <f t="shared" si="0"/>
        <v/>
      </c>
      <c r="K30" s="35" t="str">
        <f>IF(D30="","",D30+設定!$C$5)</f>
        <v/>
      </c>
      <c r="L30" s="11" t="str">
        <f t="shared" ca="1" si="1"/>
        <v/>
      </c>
      <c r="M30" s="31"/>
      <c r="N30" s="36"/>
      <c r="O30" s="32"/>
      <c r="P30" s="29"/>
    </row>
    <row r="31" spans="2:16" ht="19.5" customHeight="1">
      <c r="B31" s="8" t="str">
        <f>IF(D31="","",COUNT($D$10:D31))</f>
        <v/>
      </c>
      <c r="C31" s="28"/>
      <c r="D31" s="36"/>
      <c r="E31" s="30"/>
      <c r="F31" s="30"/>
      <c r="G31" s="31"/>
      <c r="H31" s="32"/>
      <c r="I31" s="9" t="str">
        <f>IF(H31="","",ROUNDDOWN(H31*設定!$C$4,0))</f>
        <v/>
      </c>
      <c r="J31" s="10" t="str">
        <f t="shared" si="0"/>
        <v/>
      </c>
      <c r="K31" s="35" t="str">
        <f>IF(D31="","",D31+設定!$C$5)</f>
        <v/>
      </c>
      <c r="L31" s="11" t="str">
        <f t="shared" ca="1" si="1"/>
        <v/>
      </c>
      <c r="M31" s="31"/>
      <c r="N31" s="36"/>
      <c r="O31" s="32"/>
      <c r="P31" s="29"/>
    </row>
    <row r="32" spans="2:16" ht="19.5" customHeight="1">
      <c r="B32" s="8" t="str">
        <f>IF(D32="","",COUNT($D$10:D32))</f>
        <v/>
      </c>
      <c r="C32" s="28"/>
      <c r="D32" s="36"/>
      <c r="E32" s="30"/>
      <c r="F32" s="30"/>
      <c r="G32" s="31"/>
      <c r="H32" s="32"/>
      <c r="I32" s="9" t="str">
        <f>IF(H32="","",ROUNDDOWN(H32*設定!$C$4,0))</f>
        <v/>
      </c>
      <c r="J32" s="10" t="str">
        <f t="shared" si="0"/>
        <v/>
      </c>
      <c r="K32" s="35" t="str">
        <f>IF(D32="","",D32+設定!$C$5)</f>
        <v/>
      </c>
      <c r="L32" s="11" t="str">
        <f t="shared" ca="1" si="1"/>
        <v/>
      </c>
      <c r="M32" s="31"/>
      <c r="N32" s="36"/>
      <c r="O32" s="32"/>
      <c r="P32" s="29"/>
    </row>
    <row r="33" spans="2:16" ht="19.5" customHeight="1">
      <c r="B33" s="8" t="str">
        <f>IF(D33="","",COUNT($D$10:D33))</f>
        <v/>
      </c>
      <c r="C33" s="28"/>
      <c r="D33" s="36"/>
      <c r="E33" s="30"/>
      <c r="F33" s="30"/>
      <c r="G33" s="31"/>
      <c r="H33" s="32"/>
      <c r="I33" s="9" t="str">
        <f>IF(H33="","",ROUNDDOWN(H33*設定!$C$4,0))</f>
        <v/>
      </c>
      <c r="J33" s="10" t="str">
        <f t="shared" si="0"/>
        <v/>
      </c>
      <c r="K33" s="35" t="str">
        <f>IF(D33="","",D33+設定!$C$5)</f>
        <v/>
      </c>
      <c r="L33" s="11" t="str">
        <f t="shared" ca="1" si="1"/>
        <v/>
      </c>
      <c r="M33" s="31"/>
      <c r="N33" s="36"/>
      <c r="O33" s="32"/>
      <c r="P33" s="29"/>
    </row>
    <row r="34" spans="2:16" ht="19.5" customHeight="1">
      <c r="B34" s="8" t="str">
        <f>IF(D34="","",COUNT($D$10:D34))</f>
        <v/>
      </c>
      <c r="C34" s="28"/>
      <c r="D34" s="36"/>
      <c r="E34" s="30"/>
      <c r="F34" s="30"/>
      <c r="G34" s="31"/>
      <c r="H34" s="32"/>
      <c r="I34" s="9" t="str">
        <f>IF(H34="","",ROUNDDOWN(H34*設定!$C$4,0))</f>
        <v/>
      </c>
      <c r="J34" s="10" t="str">
        <f t="shared" si="0"/>
        <v/>
      </c>
      <c r="K34" s="35" t="str">
        <f>IF(D34="","",D34+設定!$C$5)</f>
        <v/>
      </c>
      <c r="L34" s="11" t="str">
        <f t="shared" ca="1" si="1"/>
        <v/>
      </c>
      <c r="M34" s="31"/>
      <c r="N34" s="36"/>
      <c r="O34" s="32"/>
      <c r="P34" s="29"/>
    </row>
    <row r="35" spans="2:16" ht="19.5" customHeight="1">
      <c r="B35" s="8" t="str">
        <f>IF(D35="","",COUNT($D$10:D35))</f>
        <v/>
      </c>
      <c r="C35" s="28"/>
      <c r="D35" s="36"/>
      <c r="E35" s="30"/>
      <c r="F35" s="30"/>
      <c r="G35" s="31"/>
      <c r="H35" s="32"/>
      <c r="I35" s="9" t="str">
        <f>IF(H35="","",ROUNDDOWN(H35*設定!$C$4,0))</f>
        <v/>
      </c>
      <c r="J35" s="10" t="str">
        <f t="shared" si="0"/>
        <v/>
      </c>
      <c r="K35" s="35" t="str">
        <f>IF(D35="","",D35+設定!$C$5)</f>
        <v/>
      </c>
      <c r="L35" s="11" t="str">
        <f t="shared" ca="1" si="1"/>
        <v/>
      </c>
      <c r="M35" s="31"/>
      <c r="N35" s="36"/>
      <c r="O35" s="32"/>
      <c r="P35" s="29"/>
    </row>
    <row r="36" spans="2:16" ht="19.5" customHeight="1">
      <c r="B36" s="8" t="str">
        <f>IF(D36="","",COUNT($D$10:D36))</f>
        <v/>
      </c>
      <c r="C36" s="28"/>
      <c r="D36" s="36"/>
      <c r="E36" s="30"/>
      <c r="F36" s="30"/>
      <c r="G36" s="31"/>
      <c r="H36" s="32"/>
      <c r="I36" s="9" t="str">
        <f>IF(H36="","",ROUNDDOWN(H36*設定!$C$4,0))</f>
        <v/>
      </c>
      <c r="J36" s="10" t="str">
        <f t="shared" si="0"/>
        <v/>
      </c>
      <c r="K36" s="35" t="str">
        <f>IF(D36="","",D36+設定!$C$5)</f>
        <v/>
      </c>
      <c r="L36" s="11" t="str">
        <f t="shared" ca="1" si="1"/>
        <v/>
      </c>
      <c r="M36" s="31"/>
      <c r="N36" s="36"/>
      <c r="O36" s="32"/>
      <c r="P36" s="29"/>
    </row>
    <row r="37" spans="2:16" ht="19.5" customHeight="1">
      <c r="B37" s="8" t="str">
        <f>IF(D37="","",COUNT($D$10:D37))</f>
        <v/>
      </c>
      <c r="C37" s="28"/>
      <c r="D37" s="36"/>
      <c r="E37" s="30"/>
      <c r="F37" s="30"/>
      <c r="G37" s="31"/>
      <c r="H37" s="32"/>
      <c r="I37" s="9" t="str">
        <f>IF(H37="","",ROUNDDOWN(H37*設定!$C$4,0))</f>
        <v/>
      </c>
      <c r="J37" s="10" t="str">
        <f t="shared" si="0"/>
        <v/>
      </c>
      <c r="K37" s="35" t="str">
        <f>IF(D37="","",D37+設定!$C$5)</f>
        <v/>
      </c>
      <c r="L37" s="11" t="str">
        <f t="shared" ca="1" si="1"/>
        <v/>
      </c>
      <c r="M37" s="31"/>
      <c r="N37" s="36"/>
      <c r="O37" s="32"/>
      <c r="P37" s="29"/>
    </row>
    <row r="38" spans="2:16" ht="19.5" customHeight="1">
      <c r="B38" s="8" t="str">
        <f>IF(D38="","",COUNT($D$10:D38))</f>
        <v/>
      </c>
      <c r="C38" s="28"/>
      <c r="D38" s="36"/>
      <c r="E38" s="30"/>
      <c r="F38" s="30"/>
      <c r="G38" s="31"/>
      <c r="H38" s="32"/>
      <c r="I38" s="9" t="str">
        <f>IF(H38="","",ROUNDDOWN(H38*設定!$C$4,0))</f>
        <v/>
      </c>
      <c r="J38" s="10" t="str">
        <f t="shared" si="0"/>
        <v/>
      </c>
      <c r="K38" s="35" t="str">
        <f>IF(D38="","",D38+設定!$C$5)</f>
        <v/>
      </c>
      <c r="L38" s="11" t="str">
        <f t="shared" ca="1" si="1"/>
        <v/>
      </c>
      <c r="M38" s="31"/>
      <c r="N38" s="36"/>
      <c r="O38" s="32"/>
      <c r="P38" s="29"/>
    </row>
    <row r="39" spans="2:16" ht="19.5" customHeight="1">
      <c r="B39" s="8" t="str">
        <f>IF(D39="","",COUNT($D$10:D39))</f>
        <v/>
      </c>
      <c r="C39" s="28"/>
      <c r="D39" s="36"/>
      <c r="E39" s="30"/>
      <c r="F39" s="30"/>
      <c r="G39" s="31"/>
      <c r="H39" s="32"/>
      <c r="I39" s="9" t="str">
        <f>IF(H39="","",ROUNDDOWN(H39*設定!$C$4,0))</f>
        <v/>
      </c>
      <c r="J39" s="10" t="str">
        <f t="shared" si="0"/>
        <v/>
      </c>
      <c r="K39" s="35" t="str">
        <f>IF(D39="","",D39+設定!$C$5)</f>
        <v/>
      </c>
      <c r="L39" s="11" t="str">
        <f t="shared" ca="1" si="1"/>
        <v/>
      </c>
      <c r="M39" s="31"/>
      <c r="N39" s="36"/>
      <c r="O39" s="32"/>
      <c r="P39" s="29"/>
    </row>
    <row r="40" spans="2:16" ht="19.5" customHeight="1">
      <c r="B40" s="8" t="str">
        <f>IF(D40="","",COUNT($D$10:D40))</f>
        <v/>
      </c>
      <c r="C40" s="28"/>
      <c r="D40" s="36"/>
      <c r="E40" s="30"/>
      <c r="F40" s="30"/>
      <c r="G40" s="31"/>
      <c r="H40" s="32"/>
      <c r="I40" s="9" t="str">
        <f>IF(H40="","",ROUNDDOWN(H40*設定!$C$4,0))</f>
        <v/>
      </c>
      <c r="J40" s="10" t="str">
        <f t="shared" si="0"/>
        <v/>
      </c>
      <c r="K40" s="35" t="str">
        <f>IF(D40="","",D40+設定!$C$5)</f>
        <v/>
      </c>
      <c r="L40" s="11" t="str">
        <f t="shared" ca="1" si="1"/>
        <v/>
      </c>
      <c r="M40" s="31"/>
      <c r="N40" s="36"/>
      <c r="O40" s="32"/>
      <c r="P40" s="29"/>
    </row>
    <row r="41" spans="2:16" ht="19.5" customHeight="1">
      <c r="B41" s="8" t="str">
        <f>IF(D41="","",COUNT($D$10:D41))</f>
        <v/>
      </c>
      <c r="C41" s="28"/>
      <c r="D41" s="36"/>
      <c r="E41" s="30"/>
      <c r="F41" s="30"/>
      <c r="G41" s="31"/>
      <c r="H41" s="32"/>
      <c r="I41" s="9" t="str">
        <f>IF(H41="","",ROUNDDOWN(H41*設定!$C$4,0))</f>
        <v/>
      </c>
      <c r="J41" s="10" t="str">
        <f t="shared" si="0"/>
        <v/>
      </c>
      <c r="K41" s="35" t="str">
        <f>IF(D41="","",D41+設定!$C$5)</f>
        <v/>
      </c>
      <c r="L41" s="11" t="str">
        <f t="shared" ca="1" si="1"/>
        <v/>
      </c>
      <c r="M41" s="31"/>
      <c r="N41" s="36"/>
      <c r="O41" s="32"/>
      <c r="P41" s="29"/>
    </row>
    <row r="42" spans="2:16" ht="19.5" customHeight="1">
      <c r="B42" s="8" t="str">
        <f>IF(D42="","",COUNT($D$10:D42))</f>
        <v/>
      </c>
      <c r="C42" s="28"/>
      <c r="D42" s="36"/>
      <c r="E42" s="30"/>
      <c r="F42" s="30"/>
      <c r="G42" s="31"/>
      <c r="H42" s="32"/>
      <c r="I42" s="9" t="str">
        <f>IF(H42="","",ROUNDDOWN(H42*設定!$C$4,0))</f>
        <v/>
      </c>
      <c r="J42" s="10" t="str">
        <f t="shared" ref="J42:J73" si="2">IF(H42="","",H42+I42)</f>
        <v/>
      </c>
      <c r="K42" s="35" t="str">
        <f>IF(D42="","",D42+設定!$C$5)</f>
        <v/>
      </c>
      <c r="L42" s="11" t="str">
        <f t="shared" ref="L42:L73" ca="1" si="3">IF(OR(D42="",M42="受注",M42="失注"),"",K42-TODAY())</f>
        <v/>
      </c>
      <c r="M42" s="31"/>
      <c r="N42" s="36"/>
      <c r="O42" s="32"/>
      <c r="P42" s="29"/>
    </row>
    <row r="43" spans="2:16" ht="19.5" customHeight="1">
      <c r="B43" s="8" t="str">
        <f>IF(D43="","",COUNT($D$10:D43))</f>
        <v/>
      </c>
      <c r="C43" s="28"/>
      <c r="D43" s="36"/>
      <c r="E43" s="30"/>
      <c r="F43" s="30"/>
      <c r="G43" s="31"/>
      <c r="H43" s="32"/>
      <c r="I43" s="9" t="str">
        <f>IF(H43="","",ROUNDDOWN(H43*設定!$C$4,0))</f>
        <v/>
      </c>
      <c r="J43" s="10" t="str">
        <f t="shared" si="2"/>
        <v/>
      </c>
      <c r="K43" s="35" t="str">
        <f>IF(D43="","",D43+設定!$C$5)</f>
        <v/>
      </c>
      <c r="L43" s="11" t="str">
        <f t="shared" ca="1" si="3"/>
        <v/>
      </c>
      <c r="M43" s="31"/>
      <c r="N43" s="36"/>
      <c r="O43" s="32"/>
      <c r="P43" s="29"/>
    </row>
    <row r="44" spans="2:16" ht="19.5" customHeight="1">
      <c r="B44" s="8" t="str">
        <f>IF(D44="","",COUNT($D$10:D44))</f>
        <v/>
      </c>
      <c r="C44" s="28"/>
      <c r="D44" s="36"/>
      <c r="E44" s="30"/>
      <c r="F44" s="30"/>
      <c r="G44" s="31"/>
      <c r="H44" s="32"/>
      <c r="I44" s="9" t="str">
        <f>IF(H44="","",ROUNDDOWN(H44*設定!$C$4,0))</f>
        <v/>
      </c>
      <c r="J44" s="10" t="str">
        <f t="shared" si="2"/>
        <v/>
      </c>
      <c r="K44" s="35" t="str">
        <f>IF(D44="","",D44+設定!$C$5)</f>
        <v/>
      </c>
      <c r="L44" s="11" t="str">
        <f t="shared" ca="1" si="3"/>
        <v/>
      </c>
      <c r="M44" s="31"/>
      <c r="N44" s="36"/>
      <c r="O44" s="32"/>
      <c r="P44" s="29"/>
    </row>
    <row r="45" spans="2:16" ht="19.5" customHeight="1">
      <c r="B45" s="8" t="str">
        <f>IF(D45="","",COUNT($D$10:D45))</f>
        <v/>
      </c>
      <c r="C45" s="28"/>
      <c r="D45" s="36"/>
      <c r="E45" s="30"/>
      <c r="F45" s="30"/>
      <c r="G45" s="31"/>
      <c r="H45" s="32"/>
      <c r="I45" s="9" t="str">
        <f>IF(H45="","",ROUNDDOWN(H45*設定!$C$4,0))</f>
        <v/>
      </c>
      <c r="J45" s="10" t="str">
        <f t="shared" si="2"/>
        <v/>
      </c>
      <c r="K45" s="35" t="str">
        <f>IF(D45="","",D45+設定!$C$5)</f>
        <v/>
      </c>
      <c r="L45" s="11" t="str">
        <f t="shared" ca="1" si="3"/>
        <v/>
      </c>
      <c r="M45" s="31"/>
      <c r="N45" s="36"/>
      <c r="O45" s="32"/>
      <c r="P45" s="29"/>
    </row>
    <row r="46" spans="2:16" ht="19.5" customHeight="1">
      <c r="B46" s="8" t="str">
        <f>IF(D46="","",COUNT($D$10:D46))</f>
        <v/>
      </c>
      <c r="C46" s="28"/>
      <c r="D46" s="36"/>
      <c r="E46" s="30"/>
      <c r="F46" s="30"/>
      <c r="G46" s="31"/>
      <c r="H46" s="32"/>
      <c r="I46" s="9" t="str">
        <f>IF(H46="","",ROUNDDOWN(H46*設定!$C$4,0))</f>
        <v/>
      </c>
      <c r="J46" s="10" t="str">
        <f t="shared" si="2"/>
        <v/>
      </c>
      <c r="K46" s="35" t="str">
        <f>IF(D46="","",D46+設定!$C$5)</f>
        <v/>
      </c>
      <c r="L46" s="11" t="str">
        <f t="shared" ca="1" si="3"/>
        <v/>
      </c>
      <c r="M46" s="31"/>
      <c r="N46" s="36"/>
      <c r="O46" s="32"/>
      <c r="P46" s="29"/>
    </row>
    <row r="47" spans="2:16" ht="19.5" customHeight="1">
      <c r="B47" s="8" t="str">
        <f>IF(D47="","",COUNT($D$10:D47))</f>
        <v/>
      </c>
      <c r="C47" s="28"/>
      <c r="D47" s="36"/>
      <c r="E47" s="30"/>
      <c r="F47" s="30"/>
      <c r="G47" s="31"/>
      <c r="H47" s="32"/>
      <c r="I47" s="9" t="str">
        <f>IF(H47="","",ROUNDDOWN(H47*設定!$C$4,0))</f>
        <v/>
      </c>
      <c r="J47" s="10" t="str">
        <f t="shared" si="2"/>
        <v/>
      </c>
      <c r="K47" s="35" t="str">
        <f>IF(D47="","",D47+設定!$C$5)</f>
        <v/>
      </c>
      <c r="L47" s="11" t="str">
        <f t="shared" ca="1" si="3"/>
        <v/>
      </c>
      <c r="M47" s="31"/>
      <c r="N47" s="36"/>
      <c r="O47" s="32"/>
      <c r="P47" s="29"/>
    </row>
    <row r="48" spans="2:16" ht="19.5" customHeight="1">
      <c r="B48" s="8" t="str">
        <f>IF(D48="","",COUNT($D$10:D48))</f>
        <v/>
      </c>
      <c r="C48" s="28"/>
      <c r="D48" s="36"/>
      <c r="E48" s="30"/>
      <c r="F48" s="30"/>
      <c r="G48" s="31"/>
      <c r="H48" s="32"/>
      <c r="I48" s="9" t="str">
        <f>IF(H48="","",ROUNDDOWN(H48*設定!$C$4,0))</f>
        <v/>
      </c>
      <c r="J48" s="10" t="str">
        <f t="shared" si="2"/>
        <v/>
      </c>
      <c r="K48" s="35" t="str">
        <f>IF(D48="","",D48+設定!$C$5)</f>
        <v/>
      </c>
      <c r="L48" s="11" t="str">
        <f t="shared" ca="1" si="3"/>
        <v/>
      </c>
      <c r="M48" s="31"/>
      <c r="N48" s="36"/>
      <c r="O48" s="32"/>
      <c r="P48" s="29"/>
    </row>
    <row r="49" spans="2:16" ht="19.5" customHeight="1">
      <c r="B49" s="8" t="str">
        <f>IF(D49="","",COUNT($D$10:D49))</f>
        <v/>
      </c>
      <c r="C49" s="28"/>
      <c r="D49" s="36"/>
      <c r="E49" s="30"/>
      <c r="F49" s="30"/>
      <c r="G49" s="31"/>
      <c r="H49" s="32"/>
      <c r="I49" s="9" t="str">
        <f>IF(H49="","",ROUNDDOWN(H49*設定!$C$4,0))</f>
        <v/>
      </c>
      <c r="J49" s="10" t="str">
        <f t="shared" si="2"/>
        <v/>
      </c>
      <c r="K49" s="35" t="str">
        <f>IF(D49="","",D49+設定!$C$5)</f>
        <v/>
      </c>
      <c r="L49" s="11" t="str">
        <f t="shared" ca="1" si="3"/>
        <v/>
      </c>
      <c r="M49" s="31"/>
      <c r="N49" s="36"/>
      <c r="O49" s="32"/>
      <c r="P49" s="29"/>
    </row>
    <row r="50" spans="2:16" ht="19.5" customHeight="1">
      <c r="B50" s="8" t="str">
        <f>IF(D50="","",COUNT($D$10:D50))</f>
        <v/>
      </c>
      <c r="C50" s="28"/>
      <c r="D50" s="36"/>
      <c r="E50" s="30"/>
      <c r="F50" s="30"/>
      <c r="G50" s="31"/>
      <c r="H50" s="32"/>
      <c r="I50" s="9" t="str">
        <f>IF(H50="","",ROUNDDOWN(H50*設定!$C$4,0))</f>
        <v/>
      </c>
      <c r="J50" s="10" t="str">
        <f t="shared" si="2"/>
        <v/>
      </c>
      <c r="K50" s="35" t="str">
        <f>IF(D50="","",D50+設定!$C$5)</f>
        <v/>
      </c>
      <c r="L50" s="11" t="str">
        <f t="shared" ca="1" si="3"/>
        <v/>
      </c>
      <c r="M50" s="31"/>
      <c r="N50" s="36"/>
      <c r="O50" s="32"/>
      <c r="P50" s="29"/>
    </row>
    <row r="51" spans="2:16" ht="19.5" customHeight="1">
      <c r="B51" s="8" t="str">
        <f>IF(D51="","",COUNT($D$10:D51))</f>
        <v/>
      </c>
      <c r="C51" s="28"/>
      <c r="D51" s="36"/>
      <c r="E51" s="30"/>
      <c r="F51" s="30"/>
      <c r="G51" s="31"/>
      <c r="H51" s="32"/>
      <c r="I51" s="9" t="str">
        <f>IF(H51="","",ROUNDDOWN(H51*設定!$C$4,0))</f>
        <v/>
      </c>
      <c r="J51" s="10" t="str">
        <f t="shared" si="2"/>
        <v/>
      </c>
      <c r="K51" s="35" t="str">
        <f>IF(D51="","",D51+設定!$C$5)</f>
        <v/>
      </c>
      <c r="L51" s="11" t="str">
        <f t="shared" ca="1" si="3"/>
        <v/>
      </c>
      <c r="M51" s="31"/>
      <c r="N51" s="36"/>
      <c r="O51" s="32"/>
      <c r="P51" s="29"/>
    </row>
    <row r="52" spans="2:16" ht="19.5" customHeight="1">
      <c r="B52" s="8" t="str">
        <f>IF(D52="","",COUNT($D$10:D52))</f>
        <v/>
      </c>
      <c r="C52" s="28"/>
      <c r="D52" s="36"/>
      <c r="E52" s="30"/>
      <c r="F52" s="30"/>
      <c r="G52" s="31"/>
      <c r="H52" s="32"/>
      <c r="I52" s="9" t="str">
        <f>IF(H52="","",ROUNDDOWN(H52*設定!$C$4,0))</f>
        <v/>
      </c>
      <c r="J52" s="10" t="str">
        <f t="shared" si="2"/>
        <v/>
      </c>
      <c r="K52" s="35" t="str">
        <f>IF(D52="","",D52+設定!$C$5)</f>
        <v/>
      </c>
      <c r="L52" s="11" t="str">
        <f t="shared" ca="1" si="3"/>
        <v/>
      </c>
      <c r="M52" s="31"/>
      <c r="N52" s="36"/>
      <c r="O52" s="32"/>
      <c r="P52" s="29"/>
    </row>
    <row r="53" spans="2:16" ht="19.5" customHeight="1">
      <c r="B53" s="8" t="str">
        <f>IF(D53="","",COUNT($D$10:D53))</f>
        <v/>
      </c>
      <c r="C53" s="28"/>
      <c r="D53" s="36"/>
      <c r="E53" s="30"/>
      <c r="F53" s="30"/>
      <c r="G53" s="31"/>
      <c r="H53" s="32"/>
      <c r="I53" s="9" t="str">
        <f>IF(H53="","",ROUNDDOWN(H53*設定!$C$4,0))</f>
        <v/>
      </c>
      <c r="J53" s="10" t="str">
        <f t="shared" si="2"/>
        <v/>
      </c>
      <c r="K53" s="35" t="str">
        <f>IF(D53="","",D53+設定!$C$5)</f>
        <v/>
      </c>
      <c r="L53" s="11" t="str">
        <f t="shared" ca="1" si="3"/>
        <v/>
      </c>
      <c r="M53" s="31"/>
      <c r="N53" s="36"/>
      <c r="O53" s="32"/>
      <c r="P53" s="29"/>
    </row>
    <row r="54" spans="2:16" ht="19.5" customHeight="1">
      <c r="B54" s="8" t="str">
        <f>IF(D54="","",COUNT($D$10:D54))</f>
        <v/>
      </c>
      <c r="C54" s="28"/>
      <c r="D54" s="36"/>
      <c r="E54" s="30"/>
      <c r="F54" s="30"/>
      <c r="G54" s="31"/>
      <c r="H54" s="32"/>
      <c r="I54" s="9" t="str">
        <f>IF(H54="","",ROUNDDOWN(H54*設定!$C$4,0))</f>
        <v/>
      </c>
      <c r="J54" s="10" t="str">
        <f t="shared" si="2"/>
        <v/>
      </c>
      <c r="K54" s="35" t="str">
        <f>IF(D54="","",D54+設定!$C$5)</f>
        <v/>
      </c>
      <c r="L54" s="11" t="str">
        <f t="shared" ca="1" si="3"/>
        <v/>
      </c>
      <c r="M54" s="31"/>
      <c r="N54" s="36"/>
      <c r="O54" s="32"/>
      <c r="P54" s="29"/>
    </row>
    <row r="55" spans="2:16" ht="19.5" customHeight="1">
      <c r="B55" s="8" t="str">
        <f>IF(D55="","",COUNT($D$10:D55))</f>
        <v/>
      </c>
      <c r="C55" s="28"/>
      <c r="D55" s="36"/>
      <c r="E55" s="30"/>
      <c r="F55" s="30"/>
      <c r="G55" s="31"/>
      <c r="H55" s="32"/>
      <c r="I55" s="9" t="str">
        <f>IF(H55="","",ROUNDDOWN(H55*設定!$C$4,0))</f>
        <v/>
      </c>
      <c r="J55" s="10" t="str">
        <f t="shared" si="2"/>
        <v/>
      </c>
      <c r="K55" s="35" t="str">
        <f>IF(D55="","",D55+設定!$C$5)</f>
        <v/>
      </c>
      <c r="L55" s="11" t="str">
        <f t="shared" ca="1" si="3"/>
        <v/>
      </c>
      <c r="M55" s="31"/>
      <c r="N55" s="36"/>
      <c r="O55" s="32"/>
      <c r="P55" s="29"/>
    </row>
    <row r="56" spans="2:16" ht="19.5" customHeight="1">
      <c r="B56" s="8" t="str">
        <f>IF(D56="","",COUNT($D$10:D56))</f>
        <v/>
      </c>
      <c r="C56" s="28"/>
      <c r="D56" s="36"/>
      <c r="E56" s="30"/>
      <c r="F56" s="30"/>
      <c r="G56" s="31"/>
      <c r="H56" s="32"/>
      <c r="I56" s="9" t="str">
        <f>IF(H56="","",ROUNDDOWN(H56*設定!$C$4,0))</f>
        <v/>
      </c>
      <c r="J56" s="10" t="str">
        <f t="shared" si="2"/>
        <v/>
      </c>
      <c r="K56" s="35" t="str">
        <f>IF(D56="","",D56+設定!$C$5)</f>
        <v/>
      </c>
      <c r="L56" s="11" t="str">
        <f t="shared" ca="1" si="3"/>
        <v/>
      </c>
      <c r="M56" s="31"/>
      <c r="N56" s="36"/>
      <c r="O56" s="32"/>
      <c r="P56" s="29"/>
    </row>
    <row r="57" spans="2:16" ht="19.5" customHeight="1">
      <c r="B57" s="8" t="str">
        <f>IF(D57="","",COUNT($D$10:D57))</f>
        <v/>
      </c>
      <c r="C57" s="28"/>
      <c r="D57" s="36"/>
      <c r="E57" s="30"/>
      <c r="F57" s="30"/>
      <c r="G57" s="31"/>
      <c r="H57" s="32"/>
      <c r="I57" s="9" t="str">
        <f>IF(H57="","",ROUNDDOWN(H57*設定!$C$4,0))</f>
        <v/>
      </c>
      <c r="J57" s="10" t="str">
        <f t="shared" si="2"/>
        <v/>
      </c>
      <c r="K57" s="35" t="str">
        <f>IF(D57="","",D57+設定!$C$5)</f>
        <v/>
      </c>
      <c r="L57" s="11" t="str">
        <f t="shared" ca="1" si="3"/>
        <v/>
      </c>
      <c r="M57" s="31"/>
      <c r="N57" s="36"/>
      <c r="O57" s="32"/>
      <c r="P57" s="29"/>
    </row>
    <row r="58" spans="2:16" ht="19.5" customHeight="1">
      <c r="B58" s="8" t="str">
        <f>IF(D58="","",COUNT($D$10:D58))</f>
        <v/>
      </c>
      <c r="C58" s="28"/>
      <c r="D58" s="36"/>
      <c r="E58" s="30"/>
      <c r="F58" s="30"/>
      <c r="G58" s="31"/>
      <c r="H58" s="32"/>
      <c r="I58" s="9" t="str">
        <f>IF(H58="","",ROUNDDOWN(H58*設定!$C$4,0))</f>
        <v/>
      </c>
      <c r="J58" s="10" t="str">
        <f t="shared" si="2"/>
        <v/>
      </c>
      <c r="K58" s="35" t="str">
        <f>IF(D58="","",D58+設定!$C$5)</f>
        <v/>
      </c>
      <c r="L58" s="11" t="str">
        <f t="shared" ca="1" si="3"/>
        <v/>
      </c>
      <c r="M58" s="31"/>
      <c r="N58" s="36"/>
      <c r="O58" s="32"/>
      <c r="P58" s="29"/>
    </row>
    <row r="59" spans="2:16" ht="19.5" customHeight="1">
      <c r="B59" s="8" t="str">
        <f>IF(D59="","",COUNT($D$10:D59))</f>
        <v/>
      </c>
      <c r="C59" s="28"/>
      <c r="D59" s="36"/>
      <c r="E59" s="30"/>
      <c r="F59" s="30"/>
      <c r="G59" s="31"/>
      <c r="H59" s="32"/>
      <c r="I59" s="9" t="str">
        <f>IF(H59="","",ROUNDDOWN(H59*設定!$C$4,0))</f>
        <v/>
      </c>
      <c r="J59" s="10" t="str">
        <f t="shared" si="2"/>
        <v/>
      </c>
      <c r="K59" s="35" t="str">
        <f>IF(D59="","",D59+設定!$C$5)</f>
        <v/>
      </c>
      <c r="L59" s="11" t="str">
        <f t="shared" ca="1" si="3"/>
        <v/>
      </c>
      <c r="M59" s="31"/>
      <c r="N59" s="36"/>
      <c r="O59" s="32"/>
      <c r="P59" s="29"/>
    </row>
    <row r="60" spans="2:16" ht="19.5" customHeight="1">
      <c r="B60" s="8" t="str">
        <f>IF(D60="","",COUNT($D$10:D60))</f>
        <v/>
      </c>
      <c r="C60" s="28"/>
      <c r="D60" s="36"/>
      <c r="E60" s="30"/>
      <c r="F60" s="30"/>
      <c r="G60" s="31"/>
      <c r="H60" s="32"/>
      <c r="I60" s="9" t="str">
        <f>IF(H60="","",ROUNDDOWN(H60*設定!$C$4,0))</f>
        <v/>
      </c>
      <c r="J60" s="10" t="str">
        <f t="shared" si="2"/>
        <v/>
      </c>
      <c r="K60" s="35" t="str">
        <f>IF(D60="","",D60+設定!$C$5)</f>
        <v/>
      </c>
      <c r="L60" s="11" t="str">
        <f t="shared" ca="1" si="3"/>
        <v/>
      </c>
      <c r="M60" s="31"/>
      <c r="N60" s="36"/>
      <c r="O60" s="32"/>
      <c r="P60" s="29"/>
    </row>
    <row r="61" spans="2:16" ht="19.5" customHeight="1">
      <c r="B61" s="8" t="str">
        <f>IF(D61="","",COUNT($D$10:D61))</f>
        <v/>
      </c>
      <c r="C61" s="28"/>
      <c r="D61" s="36"/>
      <c r="E61" s="30"/>
      <c r="F61" s="30"/>
      <c r="G61" s="31"/>
      <c r="H61" s="32"/>
      <c r="I61" s="9" t="str">
        <f>IF(H61="","",ROUNDDOWN(H61*設定!$C$4,0))</f>
        <v/>
      </c>
      <c r="J61" s="10" t="str">
        <f t="shared" si="2"/>
        <v/>
      </c>
      <c r="K61" s="35" t="str">
        <f>IF(D61="","",D61+設定!$C$5)</f>
        <v/>
      </c>
      <c r="L61" s="11" t="str">
        <f t="shared" ca="1" si="3"/>
        <v/>
      </c>
      <c r="M61" s="31"/>
      <c r="N61" s="36"/>
      <c r="O61" s="32"/>
      <c r="P61" s="29"/>
    </row>
    <row r="62" spans="2:16" ht="19.5" customHeight="1">
      <c r="B62" s="8" t="str">
        <f>IF(D62="","",COUNT($D$10:D62))</f>
        <v/>
      </c>
      <c r="C62" s="28"/>
      <c r="D62" s="36"/>
      <c r="E62" s="30"/>
      <c r="F62" s="30"/>
      <c r="G62" s="31"/>
      <c r="H62" s="32"/>
      <c r="I62" s="9" t="str">
        <f>IF(H62="","",ROUNDDOWN(H62*設定!$C$4,0))</f>
        <v/>
      </c>
      <c r="J62" s="10" t="str">
        <f t="shared" si="2"/>
        <v/>
      </c>
      <c r="K62" s="35" t="str">
        <f>IF(D62="","",D62+設定!$C$5)</f>
        <v/>
      </c>
      <c r="L62" s="11" t="str">
        <f t="shared" ca="1" si="3"/>
        <v/>
      </c>
      <c r="M62" s="31"/>
      <c r="N62" s="36"/>
      <c r="O62" s="32"/>
      <c r="P62" s="29"/>
    </row>
    <row r="63" spans="2:16" ht="19.5" customHeight="1">
      <c r="B63" s="8" t="str">
        <f>IF(D63="","",COUNT($D$10:D63))</f>
        <v/>
      </c>
      <c r="C63" s="28"/>
      <c r="D63" s="36"/>
      <c r="E63" s="30"/>
      <c r="F63" s="30"/>
      <c r="G63" s="31"/>
      <c r="H63" s="32"/>
      <c r="I63" s="9" t="str">
        <f>IF(H63="","",ROUNDDOWN(H63*設定!$C$4,0))</f>
        <v/>
      </c>
      <c r="J63" s="10" t="str">
        <f t="shared" si="2"/>
        <v/>
      </c>
      <c r="K63" s="35" t="str">
        <f>IF(D63="","",D63+設定!$C$5)</f>
        <v/>
      </c>
      <c r="L63" s="11" t="str">
        <f t="shared" ca="1" si="3"/>
        <v/>
      </c>
      <c r="M63" s="31"/>
      <c r="N63" s="36"/>
      <c r="O63" s="32"/>
      <c r="P63" s="29"/>
    </row>
    <row r="64" spans="2:16" ht="19.5" customHeight="1">
      <c r="B64" s="8" t="str">
        <f>IF(D64="","",COUNT($D$10:D64))</f>
        <v/>
      </c>
      <c r="C64" s="28"/>
      <c r="D64" s="36"/>
      <c r="E64" s="30"/>
      <c r="F64" s="30"/>
      <c r="G64" s="31"/>
      <c r="H64" s="32"/>
      <c r="I64" s="9" t="str">
        <f>IF(H64="","",ROUNDDOWN(H64*設定!$C$4,0))</f>
        <v/>
      </c>
      <c r="J64" s="10" t="str">
        <f t="shared" si="2"/>
        <v/>
      </c>
      <c r="K64" s="35" t="str">
        <f>IF(D64="","",D64+設定!$C$5)</f>
        <v/>
      </c>
      <c r="L64" s="11" t="str">
        <f t="shared" ca="1" si="3"/>
        <v/>
      </c>
      <c r="M64" s="31"/>
      <c r="N64" s="36"/>
      <c r="O64" s="32"/>
      <c r="P64" s="29"/>
    </row>
    <row r="65" spans="2:16" ht="19.5" customHeight="1">
      <c r="B65" s="8" t="str">
        <f>IF(D65="","",COUNT($D$10:D65))</f>
        <v/>
      </c>
      <c r="C65" s="28"/>
      <c r="D65" s="36"/>
      <c r="E65" s="30"/>
      <c r="F65" s="30"/>
      <c r="G65" s="31"/>
      <c r="H65" s="32"/>
      <c r="I65" s="9" t="str">
        <f>IF(H65="","",ROUNDDOWN(H65*設定!$C$4,0))</f>
        <v/>
      </c>
      <c r="J65" s="10" t="str">
        <f t="shared" si="2"/>
        <v/>
      </c>
      <c r="K65" s="35" t="str">
        <f>IF(D65="","",D65+設定!$C$5)</f>
        <v/>
      </c>
      <c r="L65" s="11" t="str">
        <f t="shared" ca="1" si="3"/>
        <v/>
      </c>
      <c r="M65" s="31"/>
      <c r="N65" s="36"/>
      <c r="O65" s="32"/>
      <c r="P65" s="29"/>
    </row>
    <row r="66" spans="2:16" ht="19.5" customHeight="1">
      <c r="B66" s="8" t="str">
        <f>IF(D66="","",COUNT($D$10:D66))</f>
        <v/>
      </c>
      <c r="C66" s="28"/>
      <c r="D66" s="36"/>
      <c r="E66" s="30"/>
      <c r="F66" s="30"/>
      <c r="G66" s="31"/>
      <c r="H66" s="32"/>
      <c r="I66" s="9" t="str">
        <f>IF(H66="","",ROUNDDOWN(H66*設定!$C$4,0))</f>
        <v/>
      </c>
      <c r="J66" s="10" t="str">
        <f t="shared" si="2"/>
        <v/>
      </c>
      <c r="K66" s="35" t="str">
        <f>IF(D66="","",D66+設定!$C$5)</f>
        <v/>
      </c>
      <c r="L66" s="11" t="str">
        <f t="shared" ca="1" si="3"/>
        <v/>
      </c>
      <c r="M66" s="31"/>
      <c r="N66" s="36"/>
      <c r="O66" s="32"/>
      <c r="P66" s="29"/>
    </row>
    <row r="67" spans="2:16" ht="19.5" customHeight="1">
      <c r="B67" s="8" t="str">
        <f>IF(D67="","",COUNT($D$10:D67))</f>
        <v/>
      </c>
      <c r="C67" s="28"/>
      <c r="D67" s="36"/>
      <c r="E67" s="30"/>
      <c r="F67" s="30"/>
      <c r="G67" s="31"/>
      <c r="H67" s="32"/>
      <c r="I67" s="9" t="str">
        <f>IF(H67="","",ROUNDDOWN(H67*設定!$C$4,0))</f>
        <v/>
      </c>
      <c r="J67" s="10" t="str">
        <f t="shared" si="2"/>
        <v/>
      </c>
      <c r="K67" s="35" t="str">
        <f>IF(D67="","",D67+設定!$C$5)</f>
        <v/>
      </c>
      <c r="L67" s="11" t="str">
        <f t="shared" ca="1" si="3"/>
        <v/>
      </c>
      <c r="M67" s="31"/>
      <c r="N67" s="36"/>
      <c r="O67" s="32"/>
      <c r="P67" s="29"/>
    </row>
    <row r="68" spans="2:16" ht="19.5" customHeight="1">
      <c r="B68" s="8" t="str">
        <f>IF(D68="","",COUNT($D$10:D68))</f>
        <v/>
      </c>
      <c r="C68" s="28"/>
      <c r="D68" s="36"/>
      <c r="E68" s="30"/>
      <c r="F68" s="30"/>
      <c r="G68" s="31"/>
      <c r="H68" s="32"/>
      <c r="I68" s="9" t="str">
        <f>IF(H68="","",ROUNDDOWN(H68*設定!$C$4,0))</f>
        <v/>
      </c>
      <c r="J68" s="10" t="str">
        <f t="shared" si="2"/>
        <v/>
      </c>
      <c r="K68" s="35" t="str">
        <f>IF(D68="","",D68+設定!$C$5)</f>
        <v/>
      </c>
      <c r="L68" s="11" t="str">
        <f t="shared" ca="1" si="3"/>
        <v/>
      </c>
      <c r="M68" s="31"/>
      <c r="N68" s="36"/>
      <c r="O68" s="32"/>
      <c r="P68" s="29"/>
    </row>
    <row r="69" spans="2:16" ht="19.5" customHeight="1">
      <c r="B69" s="8" t="str">
        <f>IF(D69="","",COUNT($D$10:D69))</f>
        <v/>
      </c>
      <c r="C69" s="28"/>
      <c r="D69" s="36"/>
      <c r="E69" s="30"/>
      <c r="F69" s="30"/>
      <c r="G69" s="31"/>
      <c r="H69" s="32"/>
      <c r="I69" s="9" t="str">
        <f>IF(H69="","",ROUNDDOWN(H69*設定!$C$4,0))</f>
        <v/>
      </c>
      <c r="J69" s="10" t="str">
        <f t="shared" si="2"/>
        <v/>
      </c>
      <c r="K69" s="35" t="str">
        <f>IF(D69="","",D69+設定!$C$5)</f>
        <v/>
      </c>
      <c r="L69" s="11" t="str">
        <f t="shared" ca="1" si="3"/>
        <v/>
      </c>
      <c r="M69" s="31"/>
      <c r="N69" s="36"/>
      <c r="O69" s="32"/>
      <c r="P69" s="29"/>
    </row>
    <row r="70" spans="2:16" ht="19.5" customHeight="1">
      <c r="B70" s="8" t="str">
        <f>IF(D70="","",COUNT($D$10:D70))</f>
        <v/>
      </c>
      <c r="C70" s="28"/>
      <c r="D70" s="36"/>
      <c r="E70" s="30"/>
      <c r="F70" s="30"/>
      <c r="G70" s="31"/>
      <c r="H70" s="32"/>
      <c r="I70" s="9" t="str">
        <f>IF(H70="","",ROUNDDOWN(H70*設定!$C$4,0))</f>
        <v/>
      </c>
      <c r="J70" s="10" t="str">
        <f t="shared" si="2"/>
        <v/>
      </c>
      <c r="K70" s="35" t="str">
        <f>IF(D70="","",D70+設定!$C$5)</f>
        <v/>
      </c>
      <c r="L70" s="11" t="str">
        <f t="shared" ca="1" si="3"/>
        <v/>
      </c>
      <c r="M70" s="31"/>
      <c r="N70" s="36"/>
      <c r="O70" s="32"/>
      <c r="P70" s="29"/>
    </row>
    <row r="71" spans="2:16" ht="19.5" customHeight="1">
      <c r="B71" s="8" t="str">
        <f>IF(D71="","",COUNT($D$10:D71))</f>
        <v/>
      </c>
      <c r="C71" s="28"/>
      <c r="D71" s="36"/>
      <c r="E71" s="30"/>
      <c r="F71" s="30"/>
      <c r="G71" s="31"/>
      <c r="H71" s="32"/>
      <c r="I71" s="9" t="str">
        <f>IF(H71="","",ROUNDDOWN(H71*設定!$C$4,0))</f>
        <v/>
      </c>
      <c r="J71" s="10" t="str">
        <f t="shared" si="2"/>
        <v/>
      </c>
      <c r="K71" s="35" t="str">
        <f>IF(D71="","",D71+設定!$C$5)</f>
        <v/>
      </c>
      <c r="L71" s="11" t="str">
        <f t="shared" ca="1" si="3"/>
        <v/>
      </c>
      <c r="M71" s="31"/>
      <c r="N71" s="36"/>
      <c r="O71" s="32"/>
      <c r="P71" s="29"/>
    </row>
    <row r="72" spans="2:16" ht="19.5" customHeight="1">
      <c r="B72" s="8" t="str">
        <f>IF(D72="","",COUNT($D$10:D72))</f>
        <v/>
      </c>
      <c r="C72" s="28"/>
      <c r="D72" s="36"/>
      <c r="E72" s="30"/>
      <c r="F72" s="30"/>
      <c r="G72" s="31"/>
      <c r="H72" s="32"/>
      <c r="I72" s="9" t="str">
        <f>IF(H72="","",ROUNDDOWN(H72*設定!$C$4,0))</f>
        <v/>
      </c>
      <c r="J72" s="10" t="str">
        <f t="shared" si="2"/>
        <v/>
      </c>
      <c r="K72" s="35" t="str">
        <f>IF(D72="","",D72+設定!$C$5)</f>
        <v/>
      </c>
      <c r="L72" s="11" t="str">
        <f t="shared" ca="1" si="3"/>
        <v/>
      </c>
      <c r="M72" s="31"/>
      <c r="N72" s="36"/>
      <c r="O72" s="32"/>
      <c r="P72" s="29"/>
    </row>
    <row r="73" spans="2:16" ht="19.5" customHeight="1">
      <c r="B73" s="8" t="str">
        <f>IF(D73="","",COUNT($D$10:D73))</f>
        <v/>
      </c>
      <c r="C73" s="28"/>
      <c r="D73" s="36"/>
      <c r="E73" s="30"/>
      <c r="F73" s="30"/>
      <c r="G73" s="31"/>
      <c r="H73" s="32"/>
      <c r="I73" s="9" t="str">
        <f>IF(H73="","",ROUNDDOWN(H73*設定!$C$4,0))</f>
        <v/>
      </c>
      <c r="J73" s="10" t="str">
        <f t="shared" si="2"/>
        <v/>
      </c>
      <c r="K73" s="35" t="str">
        <f>IF(D73="","",D73+設定!$C$5)</f>
        <v/>
      </c>
      <c r="L73" s="11" t="str">
        <f t="shared" ca="1" si="3"/>
        <v/>
      </c>
      <c r="M73" s="31"/>
      <c r="N73" s="36"/>
      <c r="O73" s="32"/>
      <c r="P73" s="29"/>
    </row>
    <row r="74" spans="2:16" ht="19.5" customHeight="1">
      <c r="B74" s="8" t="str">
        <f>IF(D74="","",COUNT($D$10:D74))</f>
        <v/>
      </c>
      <c r="C74" s="28"/>
      <c r="D74" s="36"/>
      <c r="E74" s="30"/>
      <c r="F74" s="30"/>
      <c r="G74" s="31"/>
      <c r="H74" s="32"/>
      <c r="I74" s="9" t="str">
        <f>IF(H74="","",ROUNDDOWN(H74*設定!$C$4,0))</f>
        <v/>
      </c>
      <c r="J74" s="10" t="str">
        <f t="shared" ref="J74:J105" si="4">IF(H74="","",H74+I74)</f>
        <v/>
      </c>
      <c r="K74" s="35" t="str">
        <f>IF(D74="","",D74+設定!$C$5)</f>
        <v/>
      </c>
      <c r="L74" s="11" t="str">
        <f t="shared" ref="L74:L105" ca="1" si="5">IF(OR(D74="",M74="受注",M74="失注"),"",K74-TODAY())</f>
        <v/>
      </c>
      <c r="M74" s="31"/>
      <c r="N74" s="36"/>
      <c r="O74" s="32"/>
      <c r="P74" s="29"/>
    </row>
    <row r="75" spans="2:16" ht="19.5" customHeight="1">
      <c r="B75" s="8" t="str">
        <f>IF(D75="","",COUNT($D$10:D75))</f>
        <v/>
      </c>
      <c r="C75" s="28"/>
      <c r="D75" s="36"/>
      <c r="E75" s="30"/>
      <c r="F75" s="30"/>
      <c r="G75" s="31"/>
      <c r="H75" s="32"/>
      <c r="I75" s="9" t="str">
        <f>IF(H75="","",ROUNDDOWN(H75*設定!$C$4,0))</f>
        <v/>
      </c>
      <c r="J75" s="10" t="str">
        <f t="shared" si="4"/>
        <v/>
      </c>
      <c r="K75" s="35" t="str">
        <f>IF(D75="","",D75+設定!$C$5)</f>
        <v/>
      </c>
      <c r="L75" s="11" t="str">
        <f t="shared" ca="1" si="5"/>
        <v/>
      </c>
      <c r="M75" s="31"/>
      <c r="N75" s="36"/>
      <c r="O75" s="32"/>
      <c r="P75" s="29"/>
    </row>
    <row r="76" spans="2:16" ht="19.5" customHeight="1">
      <c r="B76" s="8" t="str">
        <f>IF(D76="","",COUNT($D$10:D76))</f>
        <v/>
      </c>
      <c r="C76" s="28"/>
      <c r="D76" s="36"/>
      <c r="E76" s="30"/>
      <c r="F76" s="30"/>
      <c r="G76" s="31"/>
      <c r="H76" s="32"/>
      <c r="I76" s="9" t="str">
        <f>IF(H76="","",ROUNDDOWN(H76*設定!$C$4,0))</f>
        <v/>
      </c>
      <c r="J76" s="10" t="str">
        <f t="shared" si="4"/>
        <v/>
      </c>
      <c r="K76" s="35" t="str">
        <f>IF(D76="","",D76+設定!$C$5)</f>
        <v/>
      </c>
      <c r="L76" s="11" t="str">
        <f t="shared" ca="1" si="5"/>
        <v/>
      </c>
      <c r="M76" s="31"/>
      <c r="N76" s="36"/>
      <c r="O76" s="32"/>
      <c r="P76" s="29"/>
    </row>
    <row r="77" spans="2:16" ht="19.5" customHeight="1">
      <c r="B77" s="8" t="str">
        <f>IF(D77="","",COUNT($D$10:D77))</f>
        <v/>
      </c>
      <c r="C77" s="28"/>
      <c r="D77" s="36"/>
      <c r="E77" s="30"/>
      <c r="F77" s="30"/>
      <c r="G77" s="31"/>
      <c r="H77" s="32"/>
      <c r="I77" s="9" t="str">
        <f>IF(H77="","",ROUNDDOWN(H77*設定!$C$4,0))</f>
        <v/>
      </c>
      <c r="J77" s="10" t="str">
        <f t="shared" si="4"/>
        <v/>
      </c>
      <c r="K77" s="35" t="str">
        <f>IF(D77="","",D77+設定!$C$5)</f>
        <v/>
      </c>
      <c r="L77" s="11" t="str">
        <f t="shared" ca="1" si="5"/>
        <v/>
      </c>
      <c r="M77" s="31"/>
      <c r="N77" s="36"/>
      <c r="O77" s="32"/>
      <c r="P77" s="29"/>
    </row>
    <row r="78" spans="2:16" ht="19.5" customHeight="1">
      <c r="B78" s="8" t="str">
        <f>IF(D78="","",COUNT($D$10:D78))</f>
        <v/>
      </c>
      <c r="C78" s="28"/>
      <c r="D78" s="36"/>
      <c r="E78" s="30"/>
      <c r="F78" s="30"/>
      <c r="G78" s="31"/>
      <c r="H78" s="32"/>
      <c r="I78" s="9" t="str">
        <f>IF(H78="","",ROUNDDOWN(H78*設定!$C$4,0))</f>
        <v/>
      </c>
      <c r="J78" s="10" t="str">
        <f t="shared" si="4"/>
        <v/>
      </c>
      <c r="K78" s="35" t="str">
        <f>IF(D78="","",D78+設定!$C$5)</f>
        <v/>
      </c>
      <c r="L78" s="11" t="str">
        <f t="shared" ca="1" si="5"/>
        <v/>
      </c>
      <c r="M78" s="31"/>
      <c r="N78" s="36"/>
      <c r="O78" s="32"/>
      <c r="P78" s="29"/>
    </row>
    <row r="79" spans="2:16" ht="19.5" customHeight="1">
      <c r="B79" s="8" t="str">
        <f>IF(D79="","",COUNT($D$10:D79))</f>
        <v/>
      </c>
      <c r="C79" s="28"/>
      <c r="D79" s="36"/>
      <c r="E79" s="30"/>
      <c r="F79" s="30"/>
      <c r="G79" s="31"/>
      <c r="H79" s="32"/>
      <c r="I79" s="9" t="str">
        <f>IF(H79="","",ROUNDDOWN(H79*設定!$C$4,0))</f>
        <v/>
      </c>
      <c r="J79" s="10" t="str">
        <f t="shared" si="4"/>
        <v/>
      </c>
      <c r="K79" s="35" t="str">
        <f>IF(D79="","",D79+設定!$C$5)</f>
        <v/>
      </c>
      <c r="L79" s="11" t="str">
        <f t="shared" ca="1" si="5"/>
        <v/>
      </c>
      <c r="M79" s="31"/>
      <c r="N79" s="36"/>
      <c r="O79" s="32"/>
      <c r="P79" s="29"/>
    </row>
    <row r="80" spans="2:16" ht="19.5" customHeight="1">
      <c r="B80" s="8" t="str">
        <f>IF(D80="","",COUNT($D$10:D80))</f>
        <v/>
      </c>
      <c r="C80" s="28"/>
      <c r="D80" s="36"/>
      <c r="E80" s="30"/>
      <c r="F80" s="30"/>
      <c r="G80" s="31"/>
      <c r="H80" s="32"/>
      <c r="I80" s="9" t="str">
        <f>IF(H80="","",ROUNDDOWN(H80*設定!$C$4,0))</f>
        <v/>
      </c>
      <c r="J80" s="10" t="str">
        <f t="shared" si="4"/>
        <v/>
      </c>
      <c r="K80" s="35" t="str">
        <f>IF(D80="","",D80+設定!$C$5)</f>
        <v/>
      </c>
      <c r="L80" s="11" t="str">
        <f t="shared" ca="1" si="5"/>
        <v/>
      </c>
      <c r="M80" s="31"/>
      <c r="N80" s="36"/>
      <c r="O80" s="32"/>
      <c r="P80" s="29"/>
    </row>
    <row r="81" spans="2:16" ht="19.5" customHeight="1">
      <c r="B81" s="8" t="str">
        <f>IF(D81="","",COUNT($D$10:D81))</f>
        <v/>
      </c>
      <c r="C81" s="28"/>
      <c r="D81" s="36"/>
      <c r="E81" s="30"/>
      <c r="F81" s="30"/>
      <c r="G81" s="31"/>
      <c r="H81" s="32"/>
      <c r="I81" s="9" t="str">
        <f>IF(H81="","",ROUNDDOWN(H81*設定!$C$4,0))</f>
        <v/>
      </c>
      <c r="J81" s="10" t="str">
        <f t="shared" si="4"/>
        <v/>
      </c>
      <c r="K81" s="35" t="str">
        <f>IF(D81="","",D81+設定!$C$5)</f>
        <v/>
      </c>
      <c r="L81" s="11" t="str">
        <f t="shared" ca="1" si="5"/>
        <v/>
      </c>
      <c r="M81" s="31"/>
      <c r="N81" s="36"/>
      <c r="O81" s="32"/>
      <c r="P81" s="29"/>
    </row>
    <row r="82" spans="2:16" ht="19.5" customHeight="1">
      <c r="B82" s="8" t="str">
        <f>IF(D82="","",COUNT($D$10:D82))</f>
        <v/>
      </c>
      <c r="C82" s="28"/>
      <c r="D82" s="36"/>
      <c r="E82" s="30"/>
      <c r="F82" s="30"/>
      <c r="G82" s="31"/>
      <c r="H82" s="32"/>
      <c r="I82" s="9" t="str">
        <f>IF(H82="","",ROUNDDOWN(H82*設定!$C$4,0))</f>
        <v/>
      </c>
      <c r="J82" s="10" t="str">
        <f t="shared" si="4"/>
        <v/>
      </c>
      <c r="K82" s="35" t="str">
        <f>IF(D82="","",D82+設定!$C$5)</f>
        <v/>
      </c>
      <c r="L82" s="11" t="str">
        <f t="shared" ca="1" si="5"/>
        <v/>
      </c>
      <c r="M82" s="31"/>
      <c r="N82" s="36"/>
      <c r="O82" s="32"/>
      <c r="P82" s="29"/>
    </row>
    <row r="83" spans="2:16" ht="19.5" customHeight="1">
      <c r="B83" s="8" t="str">
        <f>IF(D83="","",COUNT($D$10:D83))</f>
        <v/>
      </c>
      <c r="C83" s="28"/>
      <c r="D83" s="36"/>
      <c r="E83" s="30"/>
      <c r="F83" s="30"/>
      <c r="G83" s="31"/>
      <c r="H83" s="32"/>
      <c r="I83" s="9" t="str">
        <f>IF(H83="","",ROUNDDOWN(H83*設定!$C$4,0))</f>
        <v/>
      </c>
      <c r="J83" s="10" t="str">
        <f t="shared" si="4"/>
        <v/>
      </c>
      <c r="K83" s="35" t="str">
        <f>IF(D83="","",D83+設定!$C$5)</f>
        <v/>
      </c>
      <c r="L83" s="11" t="str">
        <f t="shared" ca="1" si="5"/>
        <v/>
      </c>
      <c r="M83" s="31"/>
      <c r="N83" s="36"/>
      <c r="O83" s="32"/>
      <c r="P83" s="29"/>
    </row>
    <row r="84" spans="2:16" ht="19.5" customHeight="1">
      <c r="B84" s="8" t="str">
        <f>IF(D84="","",COUNT($D$10:D84))</f>
        <v/>
      </c>
      <c r="C84" s="28"/>
      <c r="D84" s="36"/>
      <c r="E84" s="30"/>
      <c r="F84" s="30"/>
      <c r="G84" s="31"/>
      <c r="H84" s="32"/>
      <c r="I84" s="9" t="str">
        <f>IF(H84="","",ROUNDDOWN(H84*設定!$C$4,0))</f>
        <v/>
      </c>
      <c r="J84" s="10" t="str">
        <f t="shared" si="4"/>
        <v/>
      </c>
      <c r="K84" s="35" t="str">
        <f>IF(D84="","",D84+設定!$C$5)</f>
        <v/>
      </c>
      <c r="L84" s="11" t="str">
        <f t="shared" ca="1" si="5"/>
        <v/>
      </c>
      <c r="M84" s="31"/>
      <c r="N84" s="36"/>
      <c r="O84" s="32"/>
      <c r="P84" s="29"/>
    </row>
    <row r="85" spans="2:16" ht="19.5" customHeight="1">
      <c r="B85" s="8" t="str">
        <f>IF(D85="","",COUNT($D$10:D85))</f>
        <v/>
      </c>
      <c r="C85" s="28"/>
      <c r="D85" s="36"/>
      <c r="E85" s="30"/>
      <c r="F85" s="30"/>
      <c r="G85" s="31"/>
      <c r="H85" s="32"/>
      <c r="I85" s="9" t="str">
        <f>IF(H85="","",ROUNDDOWN(H85*設定!$C$4,0))</f>
        <v/>
      </c>
      <c r="J85" s="10" t="str">
        <f t="shared" si="4"/>
        <v/>
      </c>
      <c r="K85" s="35" t="str">
        <f>IF(D85="","",D85+設定!$C$5)</f>
        <v/>
      </c>
      <c r="L85" s="11" t="str">
        <f t="shared" ca="1" si="5"/>
        <v/>
      </c>
      <c r="M85" s="31"/>
      <c r="N85" s="36"/>
      <c r="O85" s="32"/>
      <c r="P85" s="29"/>
    </row>
    <row r="86" spans="2:16" ht="19.5" customHeight="1">
      <c r="B86" s="8" t="str">
        <f>IF(D86="","",COUNT($D$10:D86))</f>
        <v/>
      </c>
      <c r="C86" s="28"/>
      <c r="D86" s="36"/>
      <c r="E86" s="30"/>
      <c r="F86" s="30"/>
      <c r="G86" s="31"/>
      <c r="H86" s="32"/>
      <c r="I86" s="9" t="str">
        <f>IF(H86="","",ROUNDDOWN(H86*設定!$C$4,0))</f>
        <v/>
      </c>
      <c r="J86" s="10" t="str">
        <f t="shared" si="4"/>
        <v/>
      </c>
      <c r="K86" s="35" t="str">
        <f>IF(D86="","",D86+設定!$C$5)</f>
        <v/>
      </c>
      <c r="L86" s="11" t="str">
        <f t="shared" ca="1" si="5"/>
        <v/>
      </c>
      <c r="M86" s="31"/>
      <c r="N86" s="36"/>
      <c r="O86" s="32"/>
      <c r="P86" s="29"/>
    </row>
    <row r="87" spans="2:16" ht="19.5" customHeight="1">
      <c r="B87" s="8" t="str">
        <f>IF(D87="","",COUNT($D$10:D87))</f>
        <v/>
      </c>
      <c r="C87" s="28"/>
      <c r="D87" s="36"/>
      <c r="E87" s="30"/>
      <c r="F87" s="30"/>
      <c r="G87" s="31"/>
      <c r="H87" s="32"/>
      <c r="I87" s="9" t="str">
        <f>IF(H87="","",ROUNDDOWN(H87*設定!$C$4,0))</f>
        <v/>
      </c>
      <c r="J87" s="10" t="str">
        <f t="shared" si="4"/>
        <v/>
      </c>
      <c r="K87" s="35" t="str">
        <f>IF(D87="","",D87+設定!$C$5)</f>
        <v/>
      </c>
      <c r="L87" s="11" t="str">
        <f t="shared" ca="1" si="5"/>
        <v/>
      </c>
      <c r="M87" s="31"/>
      <c r="N87" s="36"/>
      <c r="O87" s="32"/>
      <c r="P87" s="29"/>
    </row>
    <row r="88" spans="2:16" ht="19.5" customHeight="1">
      <c r="B88" s="8" t="str">
        <f>IF(D88="","",COUNT($D$10:D88))</f>
        <v/>
      </c>
      <c r="C88" s="28"/>
      <c r="D88" s="36"/>
      <c r="E88" s="30"/>
      <c r="F88" s="30"/>
      <c r="G88" s="31"/>
      <c r="H88" s="32"/>
      <c r="I88" s="9" t="str">
        <f>IF(H88="","",ROUNDDOWN(H88*設定!$C$4,0))</f>
        <v/>
      </c>
      <c r="J88" s="10" t="str">
        <f t="shared" si="4"/>
        <v/>
      </c>
      <c r="K88" s="35" t="str">
        <f>IF(D88="","",D88+設定!$C$5)</f>
        <v/>
      </c>
      <c r="L88" s="11" t="str">
        <f t="shared" ca="1" si="5"/>
        <v/>
      </c>
      <c r="M88" s="31"/>
      <c r="N88" s="36"/>
      <c r="O88" s="32"/>
      <c r="P88" s="29"/>
    </row>
    <row r="89" spans="2:16" ht="19.5" customHeight="1">
      <c r="B89" s="8" t="str">
        <f>IF(D89="","",COUNT($D$10:D89))</f>
        <v/>
      </c>
      <c r="C89" s="28"/>
      <c r="D89" s="36"/>
      <c r="E89" s="30"/>
      <c r="F89" s="30"/>
      <c r="G89" s="31"/>
      <c r="H89" s="32"/>
      <c r="I89" s="9" t="str">
        <f>IF(H89="","",ROUNDDOWN(H89*設定!$C$4,0))</f>
        <v/>
      </c>
      <c r="J89" s="10" t="str">
        <f t="shared" si="4"/>
        <v/>
      </c>
      <c r="K89" s="35" t="str">
        <f>IF(D89="","",D89+設定!$C$5)</f>
        <v/>
      </c>
      <c r="L89" s="11" t="str">
        <f t="shared" ca="1" si="5"/>
        <v/>
      </c>
      <c r="M89" s="31"/>
      <c r="N89" s="36"/>
      <c r="O89" s="32"/>
      <c r="P89" s="29"/>
    </row>
    <row r="90" spans="2:16" ht="19.5" customHeight="1">
      <c r="B90" s="8" t="str">
        <f>IF(D90="","",COUNT($D$10:D90))</f>
        <v/>
      </c>
      <c r="C90" s="28"/>
      <c r="D90" s="36"/>
      <c r="E90" s="30"/>
      <c r="F90" s="30"/>
      <c r="G90" s="31"/>
      <c r="H90" s="32"/>
      <c r="I90" s="9" t="str">
        <f>IF(H90="","",ROUNDDOWN(H90*設定!$C$4,0))</f>
        <v/>
      </c>
      <c r="J90" s="10" t="str">
        <f t="shared" si="4"/>
        <v/>
      </c>
      <c r="K90" s="35" t="str">
        <f>IF(D90="","",D90+設定!$C$5)</f>
        <v/>
      </c>
      <c r="L90" s="11" t="str">
        <f t="shared" ca="1" si="5"/>
        <v/>
      </c>
      <c r="M90" s="31"/>
      <c r="N90" s="36"/>
      <c r="O90" s="32"/>
      <c r="P90" s="29"/>
    </row>
    <row r="91" spans="2:16" ht="19.5" customHeight="1">
      <c r="B91" s="8" t="str">
        <f>IF(D91="","",COUNT($D$10:D91))</f>
        <v/>
      </c>
      <c r="C91" s="28"/>
      <c r="D91" s="36"/>
      <c r="E91" s="30"/>
      <c r="F91" s="30"/>
      <c r="G91" s="31"/>
      <c r="H91" s="32"/>
      <c r="I91" s="9" t="str">
        <f>IF(H91="","",ROUNDDOWN(H91*設定!$C$4,0))</f>
        <v/>
      </c>
      <c r="J91" s="10" t="str">
        <f t="shared" si="4"/>
        <v/>
      </c>
      <c r="K91" s="35" t="str">
        <f>IF(D91="","",D91+設定!$C$5)</f>
        <v/>
      </c>
      <c r="L91" s="11" t="str">
        <f t="shared" ca="1" si="5"/>
        <v/>
      </c>
      <c r="M91" s="31"/>
      <c r="N91" s="36"/>
      <c r="O91" s="32"/>
      <c r="P91" s="29"/>
    </row>
    <row r="92" spans="2:16" ht="19.5" customHeight="1">
      <c r="B92" s="8" t="str">
        <f>IF(D92="","",COUNT($D$10:D92))</f>
        <v/>
      </c>
      <c r="C92" s="28"/>
      <c r="D92" s="36"/>
      <c r="E92" s="30"/>
      <c r="F92" s="30"/>
      <c r="G92" s="31"/>
      <c r="H92" s="32"/>
      <c r="I92" s="9" t="str">
        <f>IF(H92="","",ROUNDDOWN(H92*設定!$C$4,0))</f>
        <v/>
      </c>
      <c r="J92" s="10" t="str">
        <f t="shared" si="4"/>
        <v/>
      </c>
      <c r="K92" s="35" t="str">
        <f>IF(D92="","",D92+設定!$C$5)</f>
        <v/>
      </c>
      <c r="L92" s="11" t="str">
        <f t="shared" ca="1" si="5"/>
        <v/>
      </c>
      <c r="M92" s="31"/>
      <c r="N92" s="36"/>
      <c r="O92" s="32"/>
      <c r="P92" s="29"/>
    </row>
    <row r="93" spans="2:16" ht="19.5" customHeight="1">
      <c r="B93" s="8" t="str">
        <f>IF(D93="","",COUNT($D$10:D93))</f>
        <v/>
      </c>
      <c r="C93" s="28"/>
      <c r="D93" s="36"/>
      <c r="E93" s="30"/>
      <c r="F93" s="30"/>
      <c r="G93" s="31"/>
      <c r="H93" s="32"/>
      <c r="I93" s="9" t="str">
        <f>IF(H93="","",ROUNDDOWN(H93*設定!$C$4,0))</f>
        <v/>
      </c>
      <c r="J93" s="10" t="str">
        <f t="shared" si="4"/>
        <v/>
      </c>
      <c r="K93" s="35" t="str">
        <f>IF(D93="","",D93+設定!$C$5)</f>
        <v/>
      </c>
      <c r="L93" s="11" t="str">
        <f t="shared" ca="1" si="5"/>
        <v/>
      </c>
      <c r="M93" s="31"/>
      <c r="N93" s="36"/>
      <c r="O93" s="32"/>
      <c r="P93" s="29"/>
    </row>
    <row r="94" spans="2:16" ht="19.5" customHeight="1">
      <c r="B94" s="8" t="str">
        <f>IF(D94="","",COUNT($D$10:D94))</f>
        <v/>
      </c>
      <c r="C94" s="28"/>
      <c r="D94" s="36"/>
      <c r="E94" s="30"/>
      <c r="F94" s="30"/>
      <c r="G94" s="31"/>
      <c r="H94" s="32"/>
      <c r="I94" s="9" t="str">
        <f>IF(H94="","",ROUNDDOWN(H94*設定!$C$4,0))</f>
        <v/>
      </c>
      <c r="J94" s="10" t="str">
        <f t="shared" si="4"/>
        <v/>
      </c>
      <c r="K94" s="35" t="str">
        <f>IF(D94="","",D94+設定!$C$5)</f>
        <v/>
      </c>
      <c r="L94" s="11" t="str">
        <f t="shared" ca="1" si="5"/>
        <v/>
      </c>
      <c r="M94" s="31"/>
      <c r="N94" s="36"/>
      <c r="O94" s="32"/>
      <c r="P94" s="29"/>
    </row>
    <row r="95" spans="2:16" ht="19.5" customHeight="1">
      <c r="B95" s="8" t="str">
        <f>IF(D95="","",COUNT($D$10:D95))</f>
        <v/>
      </c>
      <c r="C95" s="28"/>
      <c r="D95" s="36"/>
      <c r="E95" s="30"/>
      <c r="F95" s="30"/>
      <c r="G95" s="31"/>
      <c r="H95" s="32"/>
      <c r="I95" s="9" t="str">
        <f>IF(H95="","",ROUNDDOWN(H95*設定!$C$4,0))</f>
        <v/>
      </c>
      <c r="J95" s="10" t="str">
        <f t="shared" si="4"/>
        <v/>
      </c>
      <c r="K95" s="35" t="str">
        <f>IF(D95="","",D95+設定!$C$5)</f>
        <v/>
      </c>
      <c r="L95" s="11" t="str">
        <f t="shared" ca="1" si="5"/>
        <v/>
      </c>
      <c r="M95" s="31"/>
      <c r="N95" s="36"/>
      <c r="O95" s="32"/>
      <c r="P95" s="29"/>
    </row>
    <row r="96" spans="2:16" ht="19.5" customHeight="1">
      <c r="B96" s="8" t="str">
        <f>IF(D96="","",COUNT($D$10:D96))</f>
        <v/>
      </c>
      <c r="C96" s="28"/>
      <c r="D96" s="36"/>
      <c r="E96" s="30"/>
      <c r="F96" s="30"/>
      <c r="G96" s="31"/>
      <c r="H96" s="32"/>
      <c r="I96" s="9" t="str">
        <f>IF(H96="","",ROUNDDOWN(H96*設定!$C$4,0))</f>
        <v/>
      </c>
      <c r="J96" s="10" t="str">
        <f t="shared" si="4"/>
        <v/>
      </c>
      <c r="K96" s="35" t="str">
        <f>IF(D96="","",D96+設定!$C$5)</f>
        <v/>
      </c>
      <c r="L96" s="11" t="str">
        <f t="shared" ca="1" si="5"/>
        <v/>
      </c>
      <c r="M96" s="31"/>
      <c r="N96" s="36"/>
      <c r="O96" s="32"/>
      <c r="P96" s="29"/>
    </row>
    <row r="97" spans="2:16" ht="19.5" customHeight="1">
      <c r="B97" s="8" t="str">
        <f>IF(D97="","",COUNT($D$10:D97))</f>
        <v/>
      </c>
      <c r="C97" s="28"/>
      <c r="D97" s="36"/>
      <c r="E97" s="30"/>
      <c r="F97" s="30"/>
      <c r="G97" s="31"/>
      <c r="H97" s="32"/>
      <c r="I97" s="9" t="str">
        <f>IF(H97="","",ROUNDDOWN(H97*設定!$C$4,0))</f>
        <v/>
      </c>
      <c r="J97" s="10" t="str">
        <f t="shared" si="4"/>
        <v/>
      </c>
      <c r="K97" s="35" t="str">
        <f>IF(D97="","",D97+設定!$C$5)</f>
        <v/>
      </c>
      <c r="L97" s="11" t="str">
        <f t="shared" ca="1" si="5"/>
        <v/>
      </c>
      <c r="M97" s="31"/>
      <c r="N97" s="36"/>
      <c r="O97" s="32"/>
      <c r="P97" s="29"/>
    </row>
    <row r="98" spans="2:16" ht="19.5" customHeight="1">
      <c r="B98" s="8" t="str">
        <f>IF(D98="","",COUNT($D$10:D98))</f>
        <v/>
      </c>
      <c r="C98" s="28"/>
      <c r="D98" s="36"/>
      <c r="E98" s="30"/>
      <c r="F98" s="30"/>
      <c r="G98" s="31"/>
      <c r="H98" s="32"/>
      <c r="I98" s="9" t="str">
        <f>IF(H98="","",ROUNDDOWN(H98*設定!$C$4,0))</f>
        <v/>
      </c>
      <c r="J98" s="10" t="str">
        <f t="shared" si="4"/>
        <v/>
      </c>
      <c r="K98" s="35" t="str">
        <f>IF(D98="","",D98+設定!$C$5)</f>
        <v/>
      </c>
      <c r="L98" s="11" t="str">
        <f t="shared" ca="1" si="5"/>
        <v/>
      </c>
      <c r="M98" s="31"/>
      <c r="N98" s="36"/>
      <c r="O98" s="32"/>
      <c r="P98" s="29"/>
    </row>
    <row r="99" spans="2:16" ht="19.5" customHeight="1">
      <c r="B99" s="8" t="str">
        <f>IF(D99="","",COUNT($D$10:D99))</f>
        <v/>
      </c>
      <c r="C99" s="28"/>
      <c r="D99" s="36"/>
      <c r="E99" s="30"/>
      <c r="F99" s="30"/>
      <c r="G99" s="31"/>
      <c r="H99" s="32"/>
      <c r="I99" s="9" t="str">
        <f>IF(H99="","",ROUNDDOWN(H99*設定!$C$4,0))</f>
        <v/>
      </c>
      <c r="J99" s="10" t="str">
        <f t="shared" si="4"/>
        <v/>
      </c>
      <c r="K99" s="35" t="str">
        <f>IF(D99="","",D99+設定!$C$5)</f>
        <v/>
      </c>
      <c r="L99" s="11" t="str">
        <f t="shared" ca="1" si="5"/>
        <v/>
      </c>
      <c r="M99" s="31"/>
      <c r="N99" s="36"/>
      <c r="O99" s="32"/>
      <c r="P99" s="29"/>
    </row>
    <row r="100" spans="2:16" ht="19.5" customHeight="1">
      <c r="B100" s="8" t="str">
        <f>IF(D100="","",COUNT($D$10:D100))</f>
        <v/>
      </c>
      <c r="C100" s="28"/>
      <c r="D100" s="36"/>
      <c r="E100" s="30"/>
      <c r="F100" s="30"/>
      <c r="G100" s="31"/>
      <c r="H100" s="32"/>
      <c r="I100" s="9" t="str">
        <f>IF(H100="","",ROUNDDOWN(H100*設定!$C$4,0))</f>
        <v/>
      </c>
      <c r="J100" s="10" t="str">
        <f t="shared" si="4"/>
        <v/>
      </c>
      <c r="K100" s="35" t="str">
        <f>IF(D100="","",D100+設定!$C$5)</f>
        <v/>
      </c>
      <c r="L100" s="11" t="str">
        <f t="shared" ca="1" si="5"/>
        <v/>
      </c>
      <c r="M100" s="31"/>
      <c r="N100" s="36"/>
      <c r="O100" s="32"/>
      <c r="P100" s="29"/>
    </row>
    <row r="101" spans="2:16" ht="19.5" customHeight="1">
      <c r="B101" s="8" t="str">
        <f>IF(D101="","",COUNT($D$10:D101))</f>
        <v/>
      </c>
      <c r="C101" s="28"/>
      <c r="D101" s="36"/>
      <c r="E101" s="30"/>
      <c r="F101" s="30"/>
      <c r="G101" s="31"/>
      <c r="H101" s="32"/>
      <c r="I101" s="9" t="str">
        <f>IF(H101="","",ROUNDDOWN(H101*設定!$C$4,0))</f>
        <v/>
      </c>
      <c r="J101" s="10" t="str">
        <f t="shared" si="4"/>
        <v/>
      </c>
      <c r="K101" s="35" t="str">
        <f>IF(D101="","",D101+設定!$C$5)</f>
        <v/>
      </c>
      <c r="L101" s="11" t="str">
        <f t="shared" ca="1" si="5"/>
        <v/>
      </c>
      <c r="M101" s="31"/>
      <c r="N101" s="36"/>
      <c r="O101" s="32"/>
      <c r="P101" s="29"/>
    </row>
    <row r="102" spans="2:16" ht="19.5" customHeight="1">
      <c r="B102" s="8" t="str">
        <f>IF(D102="","",COUNT($D$10:D102))</f>
        <v/>
      </c>
      <c r="C102" s="28"/>
      <c r="D102" s="36"/>
      <c r="E102" s="30"/>
      <c r="F102" s="30"/>
      <c r="G102" s="31"/>
      <c r="H102" s="32"/>
      <c r="I102" s="9" t="str">
        <f>IF(H102="","",ROUNDDOWN(H102*設定!$C$4,0))</f>
        <v/>
      </c>
      <c r="J102" s="10" t="str">
        <f t="shared" si="4"/>
        <v/>
      </c>
      <c r="K102" s="35" t="str">
        <f>IF(D102="","",D102+設定!$C$5)</f>
        <v/>
      </c>
      <c r="L102" s="11" t="str">
        <f t="shared" ca="1" si="5"/>
        <v/>
      </c>
      <c r="M102" s="31"/>
      <c r="N102" s="36"/>
      <c r="O102" s="32"/>
      <c r="P102" s="29"/>
    </row>
    <row r="103" spans="2:16" ht="19.5" customHeight="1">
      <c r="B103" s="8" t="str">
        <f>IF(D103="","",COUNT($D$10:D103))</f>
        <v/>
      </c>
      <c r="C103" s="28"/>
      <c r="D103" s="36"/>
      <c r="E103" s="30"/>
      <c r="F103" s="30"/>
      <c r="G103" s="31"/>
      <c r="H103" s="32"/>
      <c r="I103" s="9" t="str">
        <f>IF(H103="","",ROUNDDOWN(H103*設定!$C$4,0))</f>
        <v/>
      </c>
      <c r="J103" s="10" t="str">
        <f t="shared" si="4"/>
        <v/>
      </c>
      <c r="K103" s="35" t="str">
        <f>IF(D103="","",D103+設定!$C$5)</f>
        <v/>
      </c>
      <c r="L103" s="11" t="str">
        <f t="shared" ca="1" si="5"/>
        <v/>
      </c>
      <c r="M103" s="31"/>
      <c r="N103" s="36"/>
      <c r="O103" s="32"/>
      <c r="P103" s="29"/>
    </row>
    <row r="104" spans="2:16" ht="19.5" customHeight="1">
      <c r="B104" s="8" t="str">
        <f>IF(D104="","",COUNT($D$10:D104))</f>
        <v/>
      </c>
      <c r="C104" s="28"/>
      <c r="D104" s="36"/>
      <c r="E104" s="30"/>
      <c r="F104" s="30"/>
      <c r="G104" s="31"/>
      <c r="H104" s="32"/>
      <c r="I104" s="9" t="str">
        <f>IF(H104="","",ROUNDDOWN(H104*設定!$C$4,0))</f>
        <v/>
      </c>
      <c r="J104" s="10" t="str">
        <f t="shared" si="4"/>
        <v/>
      </c>
      <c r="K104" s="35" t="str">
        <f>IF(D104="","",D104+設定!$C$5)</f>
        <v/>
      </c>
      <c r="L104" s="11" t="str">
        <f t="shared" ca="1" si="5"/>
        <v/>
      </c>
      <c r="M104" s="31"/>
      <c r="N104" s="36"/>
      <c r="O104" s="32"/>
      <c r="P104" s="29"/>
    </row>
    <row r="105" spans="2:16" ht="19.5" customHeight="1">
      <c r="B105" s="8" t="str">
        <f>IF(D105="","",COUNT($D$10:D105))</f>
        <v/>
      </c>
      <c r="C105" s="28"/>
      <c r="D105" s="36"/>
      <c r="E105" s="30"/>
      <c r="F105" s="30"/>
      <c r="G105" s="31"/>
      <c r="H105" s="32"/>
      <c r="I105" s="9" t="str">
        <f>IF(H105="","",ROUNDDOWN(H105*設定!$C$4,0))</f>
        <v/>
      </c>
      <c r="J105" s="10" t="str">
        <f t="shared" si="4"/>
        <v/>
      </c>
      <c r="K105" s="35" t="str">
        <f>IF(D105="","",D105+設定!$C$5)</f>
        <v/>
      </c>
      <c r="L105" s="11" t="str">
        <f t="shared" ca="1" si="5"/>
        <v/>
      </c>
      <c r="M105" s="31"/>
      <c r="N105" s="36"/>
      <c r="O105" s="32"/>
      <c r="P105" s="29"/>
    </row>
    <row r="106" spans="2:16" ht="19.5" customHeight="1">
      <c r="B106" s="8" t="str">
        <f>IF(D106="","",COUNT($D$10:D106))</f>
        <v/>
      </c>
      <c r="C106" s="28"/>
      <c r="D106" s="36"/>
      <c r="E106" s="30"/>
      <c r="F106" s="30"/>
      <c r="G106" s="31"/>
      <c r="H106" s="32"/>
      <c r="I106" s="9" t="str">
        <f>IF(H106="","",ROUNDDOWN(H106*設定!$C$4,0))</f>
        <v/>
      </c>
      <c r="J106" s="10" t="str">
        <f t="shared" ref="J106:J137" si="6">IF(H106="","",H106+I106)</f>
        <v/>
      </c>
      <c r="K106" s="35" t="str">
        <f>IF(D106="","",D106+設定!$C$5)</f>
        <v/>
      </c>
      <c r="L106" s="11" t="str">
        <f t="shared" ref="L106:L137" ca="1" si="7">IF(OR(D106="",M106="受注",M106="失注"),"",K106-TODAY())</f>
        <v/>
      </c>
      <c r="M106" s="31"/>
      <c r="N106" s="36"/>
      <c r="O106" s="32"/>
      <c r="P106" s="29"/>
    </row>
    <row r="107" spans="2:16" ht="19.5" customHeight="1">
      <c r="B107" s="8" t="str">
        <f>IF(D107="","",COUNT($D$10:D107))</f>
        <v/>
      </c>
      <c r="C107" s="28"/>
      <c r="D107" s="36"/>
      <c r="E107" s="30"/>
      <c r="F107" s="30"/>
      <c r="G107" s="31"/>
      <c r="H107" s="32"/>
      <c r="I107" s="9" t="str">
        <f>IF(H107="","",ROUNDDOWN(H107*設定!$C$4,0))</f>
        <v/>
      </c>
      <c r="J107" s="10" t="str">
        <f t="shared" si="6"/>
        <v/>
      </c>
      <c r="K107" s="35" t="str">
        <f>IF(D107="","",D107+設定!$C$5)</f>
        <v/>
      </c>
      <c r="L107" s="11" t="str">
        <f t="shared" ca="1" si="7"/>
        <v/>
      </c>
      <c r="M107" s="31"/>
      <c r="N107" s="36"/>
      <c r="O107" s="32"/>
      <c r="P107" s="29"/>
    </row>
    <row r="108" spans="2:16" ht="19.5" customHeight="1">
      <c r="B108" s="8" t="str">
        <f>IF(D108="","",COUNT($D$10:D108))</f>
        <v/>
      </c>
      <c r="C108" s="28"/>
      <c r="D108" s="36"/>
      <c r="E108" s="30"/>
      <c r="F108" s="30"/>
      <c r="G108" s="31"/>
      <c r="H108" s="32"/>
      <c r="I108" s="9" t="str">
        <f>IF(H108="","",ROUNDDOWN(H108*設定!$C$4,0))</f>
        <v/>
      </c>
      <c r="J108" s="10" t="str">
        <f t="shared" si="6"/>
        <v/>
      </c>
      <c r="K108" s="35" t="str">
        <f>IF(D108="","",D108+設定!$C$5)</f>
        <v/>
      </c>
      <c r="L108" s="11" t="str">
        <f t="shared" ca="1" si="7"/>
        <v/>
      </c>
      <c r="M108" s="31"/>
      <c r="N108" s="36"/>
      <c r="O108" s="32"/>
      <c r="P108" s="29"/>
    </row>
    <row r="109" spans="2:16" ht="19.5" customHeight="1">
      <c r="B109" s="8" t="str">
        <f>IF(D109="","",COUNT($D$10:D109))</f>
        <v/>
      </c>
      <c r="C109" s="28"/>
      <c r="D109" s="36"/>
      <c r="E109" s="30"/>
      <c r="F109" s="30"/>
      <c r="G109" s="31"/>
      <c r="H109" s="32"/>
      <c r="I109" s="9" t="str">
        <f>IF(H109="","",ROUNDDOWN(H109*設定!$C$4,0))</f>
        <v/>
      </c>
      <c r="J109" s="10" t="str">
        <f t="shared" si="6"/>
        <v/>
      </c>
      <c r="K109" s="35" t="str">
        <f>IF(D109="","",D109+設定!$C$5)</f>
        <v/>
      </c>
      <c r="L109" s="11" t="str">
        <f t="shared" ca="1" si="7"/>
        <v/>
      </c>
      <c r="M109" s="31"/>
      <c r="N109" s="36"/>
      <c r="O109" s="32"/>
      <c r="P109" s="29"/>
    </row>
    <row r="110" spans="2:16" ht="19.5" customHeight="1">
      <c r="B110" s="8" t="str">
        <f>IF(D110="","",COUNT($D$10:D110))</f>
        <v/>
      </c>
      <c r="C110" s="28"/>
      <c r="D110" s="36"/>
      <c r="E110" s="30"/>
      <c r="F110" s="30"/>
      <c r="G110" s="31"/>
      <c r="H110" s="32"/>
      <c r="I110" s="9" t="str">
        <f>IF(H110="","",ROUNDDOWN(H110*設定!$C$4,0))</f>
        <v/>
      </c>
      <c r="J110" s="10" t="str">
        <f t="shared" si="6"/>
        <v/>
      </c>
      <c r="K110" s="35" t="str">
        <f>IF(D110="","",D110+設定!$C$5)</f>
        <v/>
      </c>
      <c r="L110" s="11" t="str">
        <f t="shared" ca="1" si="7"/>
        <v/>
      </c>
      <c r="M110" s="31"/>
      <c r="N110" s="36"/>
      <c r="O110" s="32"/>
      <c r="P110" s="29"/>
    </row>
    <row r="111" spans="2:16" ht="19.5" customHeight="1">
      <c r="B111" s="8" t="str">
        <f>IF(D111="","",COUNT($D$10:D111))</f>
        <v/>
      </c>
      <c r="C111" s="28"/>
      <c r="D111" s="36"/>
      <c r="E111" s="30"/>
      <c r="F111" s="30"/>
      <c r="G111" s="31"/>
      <c r="H111" s="32"/>
      <c r="I111" s="9" t="str">
        <f>IF(H111="","",ROUNDDOWN(H111*設定!$C$4,0))</f>
        <v/>
      </c>
      <c r="J111" s="10" t="str">
        <f t="shared" si="6"/>
        <v/>
      </c>
      <c r="K111" s="35" t="str">
        <f>IF(D111="","",D111+設定!$C$5)</f>
        <v/>
      </c>
      <c r="L111" s="11" t="str">
        <f t="shared" ca="1" si="7"/>
        <v/>
      </c>
      <c r="M111" s="31"/>
      <c r="N111" s="36"/>
      <c r="O111" s="32"/>
      <c r="P111" s="29"/>
    </row>
    <row r="112" spans="2:16" ht="19.5" customHeight="1">
      <c r="B112" s="8" t="str">
        <f>IF(D112="","",COUNT($D$10:D112))</f>
        <v/>
      </c>
      <c r="C112" s="28"/>
      <c r="D112" s="36"/>
      <c r="E112" s="30"/>
      <c r="F112" s="30"/>
      <c r="G112" s="31"/>
      <c r="H112" s="32"/>
      <c r="I112" s="9" t="str">
        <f>IF(H112="","",ROUNDDOWN(H112*設定!$C$4,0))</f>
        <v/>
      </c>
      <c r="J112" s="10" t="str">
        <f t="shared" si="6"/>
        <v/>
      </c>
      <c r="K112" s="35" t="str">
        <f>IF(D112="","",D112+設定!$C$5)</f>
        <v/>
      </c>
      <c r="L112" s="11" t="str">
        <f t="shared" ca="1" si="7"/>
        <v/>
      </c>
      <c r="M112" s="31"/>
      <c r="N112" s="36"/>
      <c r="O112" s="32"/>
      <c r="P112" s="29"/>
    </row>
    <row r="113" spans="2:16" ht="19.5" customHeight="1">
      <c r="B113" s="8" t="str">
        <f>IF(D113="","",COUNT($D$10:D113))</f>
        <v/>
      </c>
      <c r="C113" s="28"/>
      <c r="D113" s="36"/>
      <c r="E113" s="30"/>
      <c r="F113" s="30"/>
      <c r="G113" s="31"/>
      <c r="H113" s="32"/>
      <c r="I113" s="9" t="str">
        <f>IF(H113="","",ROUNDDOWN(H113*設定!$C$4,0))</f>
        <v/>
      </c>
      <c r="J113" s="10" t="str">
        <f t="shared" si="6"/>
        <v/>
      </c>
      <c r="K113" s="35" t="str">
        <f>IF(D113="","",D113+設定!$C$5)</f>
        <v/>
      </c>
      <c r="L113" s="11" t="str">
        <f t="shared" ca="1" si="7"/>
        <v/>
      </c>
      <c r="M113" s="31"/>
      <c r="N113" s="36"/>
      <c r="O113" s="32"/>
      <c r="P113" s="29"/>
    </row>
    <row r="114" spans="2:16" ht="19.5" customHeight="1">
      <c r="B114" s="8" t="str">
        <f>IF(D114="","",COUNT($D$10:D114))</f>
        <v/>
      </c>
      <c r="C114" s="28"/>
      <c r="D114" s="36"/>
      <c r="E114" s="30"/>
      <c r="F114" s="30"/>
      <c r="G114" s="31"/>
      <c r="H114" s="32"/>
      <c r="I114" s="9" t="str">
        <f>IF(H114="","",ROUNDDOWN(H114*設定!$C$4,0))</f>
        <v/>
      </c>
      <c r="J114" s="10" t="str">
        <f t="shared" si="6"/>
        <v/>
      </c>
      <c r="K114" s="35" t="str">
        <f>IF(D114="","",D114+設定!$C$5)</f>
        <v/>
      </c>
      <c r="L114" s="11" t="str">
        <f t="shared" ca="1" si="7"/>
        <v/>
      </c>
      <c r="M114" s="31"/>
      <c r="N114" s="36"/>
      <c r="O114" s="32"/>
      <c r="P114" s="29"/>
    </row>
    <row r="115" spans="2:16" ht="19.5" customHeight="1">
      <c r="B115" s="8" t="str">
        <f>IF(D115="","",COUNT($D$10:D115))</f>
        <v/>
      </c>
      <c r="C115" s="28"/>
      <c r="D115" s="36"/>
      <c r="E115" s="30"/>
      <c r="F115" s="30"/>
      <c r="G115" s="31"/>
      <c r="H115" s="32"/>
      <c r="I115" s="9" t="str">
        <f>IF(H115="","",ROUNDDOWN(H115*設定!$C$4,0))</f>
        <v/>
      </c>
      <c r="J115" s="10" t="str">
        <f t="shared" si="6"/>
        <v/>
      </c>
      <c r="K115" s="35" t="str">
        <f>IF(D115="","",D115+設定!$C$5)</f>
        <v/>
      </c>
      <c r="L115" s="11" t="str">
        <f t="shared" ca="1" si="7"/>
        <v/>
      </c>
      <c r="M115" s="31"/>
      <c r="N115" s="36"/>
      <c r="O115" s="32"/>
      <c r="P115" s="29"/>
    </row>
    <row r="116" spans="2:16" ht="19.5" customHeight="1">
      <c r="B116" s="8" t="str">
        <f>IF(D116="","",COUNT($D$10:D116))</f>
        <v/>
      </c>
      <c r="C116" s="28"/>
      <c r="D116" s="36"/>
      <c r="E116" s="30"/>
      <c r="F116" s="30"/>
      <c r="G116" s="31"/>
      <c r="H116" s="32"/>
      <c r="I116" s="9" t="str">
        <f>IF(H116="","",ROUNDDOWN(H116*設定!$C$4,0))</f>
        <v/>
      </c>
      <c r="J116" s="10" t="str">
        <f t="shared" si="6"/>
        <v/>
      </c>
      <c r="K116" s="35" t="str">
        <f>IF(D116="","",D116+設定!$C$5)</f>
        <v/>
      </c>
      <c r="L116" s="11" t="str">
        <f t="shared" ca="1" si="7"/>
        <v/>
      </c>
      <c r="M116" s="31"/>
      <c r="N116" s="36"/>
      <c r="O116" s="32"/>
      <c r="P116" s="29"/>
    </row>
    <row r="117" spans="2:16" ht="19.5" customHeight="1">
      <c r="B117" s="8" t="str">
        <f>IF(D117="","",COUNT($D$10:D117))</f>
        <v/>
      </c>
      <c r="C117" s="28"/>
      <c r="D117" s="36"/>
      <c r="E117" s="30"/>
      <c r="F117" s="30"/>
      <c r="G117" s="31"/>
      <c r="H117" s="32"/>
      <c r="I117" s="9" t="str">
        <f>IF(H117="","",ROUNDDOWN(H117*設定!$C$4,0))</f>
        <v/>
      </c>
      <c r="J117" s="10" t="str">
        <f t="shared" si="6"/>
        <v/>
      </c>
      <c r="K117" s="35" t="str">
        <f>IF(D117="","",D117+設定!$C$5)</f>
        <v/>
      </c>
      <c r="L117" s="11" t="str">
        <f t="shared" ca="1" si="7"/>
        <v/>
      </c>
      <c r="M117" s="31"/>
      <c r="N117" s="36"/>
      <c r="O117" s="32"/>
      <c r="P117" s="29"/>
    </row>
    <row r="118" spans="2:16" ht="19.5" customHeight="1">
      <c r="B118" s="8" t="str">
        <f>IF(D118="","",COUNT($D$10:D118))</f>
        <v/>
      </c>
      <c r="C118" s="28"/>
      <c r="D118" s="36"/>
      <c r="E118" s="30"/>
      <c r="F118" s="30"/>
      <c r="G118" s="31"/>
      <c r="H118" s="32"/>
      <c r="I118" s="9" t="str">
        <f>IF(H118="","",ROUNDDOWN(H118*設定!$C$4,0))</f>
        <v/>
      </c>
      <c r="J118" s="10" t="str">
        <f t="shared" si="6"/>
        <v/>
      </c>
      <c r="K118" s="35" t="str">
        <f>IF(D118="","",D118+設定!$C$5)</f>
        <v/>
      </c>
      <c r="L118" s="11" t="str">
        <f t="shared" ca="1" si="7"/>
        <v/>
      </c>
      <c r="M118" s="31"/>
      <c r="N118" s="36"/>
      <c r="O118" s="32"/>
      <c r="P118" s="29"/>
    </row>
    <row r="119" spans="2:16" ht="19.5" customHeight="1">
      <c r="B119" s="8" t="str">
        <f>IF(D119="","",COUNT($D$10:D119))</f>
        <v/>
      </c>
      <c r="C119" s="28"/>
      <c r="D119" s="36"/>
      <c r="E119" s="30"/>
      <c r="F119" s="30"/>
      <c r="G119" s="31"/>
      <c r="H119" s="32"/>
      <c r="I119" s="9" t="str">
        <f>IF(H119="","",ROUNDDOWN(H119*設定!$C$4,0))</f>
        <v/>
      </c>
      <c r="J119" s="10" t="str">
        <f t="shared" si="6"/>
        <v/>
      </c>
      <c r="K119" s="35" t="str">
        <f>IF(D119="","",D119+設定!$C$5)</f>
        <v/>
      </c>
      <c r="L119" s="11" t="str">
        <f t="shared" ca="1" si="7"/>
        <v/>
      </c>
      <c r="M119" s="31"/>
      <c r="N119" s="36"/>
      <c r="O119" s="32"/>
      <c r="P119" s="29"/>
    </row>
    <row r="120" spans="2:16" ht="19.5" customHeight="1">
      <c r="B120" s="8" t="str">
        <f>IF(D120="","",COUNT($D$10:D120))</f>
        <v/>
      </c>
      <c r="C120" s="28"/>
      <c r="D120" s="36"/>
      <c r="E120" s="30"/>
      <c r="F120" s="30"/>
      <c r="G120" s="31"/>
      <c r="H120" s="32"/>
      <c r="I120" s="9" t="str">
        <f>IF(H120="","",ROUNDDOWN(H120*設定!$C$4,0))</f>
        <v/>
      </c>
      <c r="J120" s="10" t="str">
        <f t="shared" si="6"/>
        <v/>
      </c>
      <c r="K120" s="35" t="str">
        <f>IF(D120="","",D120+設定!$C$5)</f>
        <v/>
      </c>
      <c r="L120" s="11" t="str">
        <f t="shared" ca="1" si="7"/>
        <v/>
      </c>
      <c r="M120" s="31"/>
      <c r="N120" s="36"/>
      <c r="O120" s="32"/>
      <c r="P120" s="29"/>
    </row>
    <row r="121" spans="2:16" ht="19.5" customHeight="1">
      <c r="B121" s="8" t="str">
        <f>IF(D121="","",COUNT($D$10:D121))</f>
        <v/>
      </c>
      <c r="C121" s="28"/>
      <c r="D121" s="36"/>
      <c r="E121" s="30"/>
      <c r="F121" s="30"/>
      <c r="G121" s="31"/>
      <c r="H121" s="32"/>
      <c r="I121" s="9" t="str">
        <f>IF(H121="","",ROUNDDOWN(H121*設定!$C$4,0))</f>
        <v/>
      </c>
      <c r="J121" s="10" t="str">
        <f t="shared" si="6"/>
        <v/>
      </c>
      <c r="K121" s="35" t="str">
        <f>IF(D121="","",D121+設定!$C$5)</f>
        <v/>
      </c>
      <c r="L121" s="11" t="str">
        <f t="shared" ca="1" si="7"/>
        <v/>
      </c>
      <c r="M121" s="31"/>
      <c r="N121" s="36"/>
      <c r="O121" s="32"/>
      <c r="P121" s="29"/>
    </row>
    <row r="122" spans="2:16" ht="19.5" customHeight="1">
      <c r="B122" s="8" t="str">
        <f>IF(D122="","",COUNT($D$10:D122))</f>
        <v/>
      </c>
      <c r="C122" s="28"/>
      <c r="D122" s="36"/>
      <c r="E122" s="30"/>
      <c r="F122" s="30"/>
      <c r="G122" s="31"/>
      <c r="H122" s="32"/>
      <c r="I122" s="9" t="str">
        <f>IF(H122="","",ROUNDDOWN(H122*設定!$C$4,0))</f>
        <v/>
      </c>
      <c r="J122" s="10" t="str">
        <f t="shared" si="6"/>
        <v/>
      </c>
      <c r="K122" s="35" t="str">
        <f>IF(D122="","",D122+設定!$C$5)</f>
        <v/>
      </c>
      <c r="L122" s="11" t="str">
        <f t="shared" ca="1" si="7"/>
        <v/>
      </c>
      <c r="M122" s="31"/>
      <c r="N122" s="36"/>
      <c r="O122" s="32"/>
      <c r="P122" s="29"/>
    </row>
    <row r="123" spans="2:16" ht="19.5" customHeight="1">
      <c r="B123" s="8" t="str">
        <f>IF(D123="","",COUNT($D$10:D123))</f>
        <v/>
      </c>
      <c r="C123" s="28"/>
      <c r="D123" s="36"/>
      <c r="E123" s="30"/>
      <c r="F123" s="30"/>
      <c r="G123" s="31"/>
      <c r="H123" s="32"/>
      <c r="I123" s="9" t="str">
        <f>IF(H123="","",ROUNDDOWN(H123*設定!$C$4,0))</f>
        <v/>
      </c>
      <c r="J123" s="10" t="str">
        <f t="shared" si="6"/>
        <v/>
      </c>
      <c r="K123" s="35" t="str">
        <f>IF(D123="","",D123+設定!$C$5)</f>
        <v/>
      </c>
      <c r="L123" s="11" t="str">
        <f t="shared" ca="1" si="7"/>
        <v/>
      </c>
      <c r="M123" s="31"/>
      <c r="N123" s="36"/>
      <c r="O123" s="32"/>
      <c r="P123" s="29"/>
    </row>
    <row r="124" spans="2:16" ht="19.5" customHeight="1">
      <c r="B124" s="8" t="str">
        <f>IF(D124="","",COUNT($D$10:D124))</f>
        <v/>
      </c>
      <c r="C124" s="28"/>
      <c r="D124" s="36"/>
      <c r="E124" s="30"/>
      <c r="F124" s="30"/>
      <c r="G124" s="31"/>
      <c r="H124" s="32"/>
      <c r="I124" s="9" t="str">
        <f>IF(H124="","",ROUNDDOWN(H124*設定!$C$4,0))</f>
        <v/>
      </c>
      <c r="J124" s="10" t="str">
        <f t="shared" si="6"/>
        <v/>
      </c>
      <c r="K124" s="35" t="str">
        <f>IF(D124="","",D124+設定!$C$5)</f>
        <v/>
      </c>
      <c r="L124" s="11" t="str">
        <f t="shared" ca="1" si="7"/>
        <v/>
      </c>
      <c r="M124" s="31"/>
      <c r="N124" s="36"/>
      <c r="O124" s="32"/>
      <c r="P124" s="29"/>
    </row>
    <row r="125" spans="2:16" ht="19.5" customHeight="1">
      <c r="B125" s="8" t="str">
        <f>IF(D125="","",COUNT($D$10:D125))</f>
        <v/>
      </c>
      <c r="C125" s="28"/>
      <c r="D125" s="36"/>
      <c r="E125" s="30"/>
      <c r="F125" s="30"/>
      <c r="G125" s="31"/>
      <c r="H125" s="32"/>
      <c r="I125" s="9" t="str">
        <f>IF(H125="","",ROUNDDOWN(H125*設定!$C$4,0))</f>
        <v/>
      </c>
      <c r="J125" s="10" t="str">
        <f t="shared" si="6"/>
        <v/>
      </c>
      <c r="K125" s="35" t="str">
        <f>IF(D125="","",D125+設定!$C$5)</f>
        <v/>
      </c>
      <c r="L125" s="11" t="str">
        <f t="shared" ca="1" si="7"/>
        <v/>
      </c>
      <c r="M125" s="31"/>
      <c r="N125" s="36"/>
      <c r="O125" s="32"/>
      <c r="P125" s="29"/>
    </row>
    <row r="126" spans="2:16" ht="19.5" customHeight="1">
      <c r="B126" s="8" t="str">
        <f>IF(D126="","",COUNT($D$10:D126))</f>
        <v/>
      </c>
      <c r="C126" s="28"/>
      <c r="D126" s="36"/>
      <c r="E126" s="30"/>
      <c r="F126" s="30"/>
      <c r="G126" s="31"/>
      <c r="H126" s="32"/>
      <c r="I126" s="9" t="str">
        <f>IF(H126="","",ROUNDDOWN(H126*設定!$C$4,0))</f>
        <v/>
      </c>
      <c r="J126" s="10" t="str">
        <f t="shared" si="6"/>
        <v/>
      </c>
      <c r="K126" s="35" t="str">
        <f>IF(D126="","",D126+設定!$C$5)</f>
        <v/>
      </c>
      <c r="L126" s="11" t="str">
        <f t="shared" ca="1" si="7"/>
        <v/>
      </c>
      <c r="M126" s="31"/>
      <c r="N126" s="36"/>
      <c r="O126" s="32"/>
      <c r="P126" s="29"/>
    </row>
    <row r="127" spans="2:16" ht="19.5" customHeight="1">
      <c r="B127" s="8" t="str">
        <f>IF(D127="","",COUNT($D$10:D127))</f>
        <v/>
      </c>
      <c r="C127" s="28"/>
      <c r="D127" s="36"/>
      <c r="E127" s="30"/>
      <c r="F127" s="30"/>
      <c r="G127" s="31"/>
      <c r="H127" s="32"/>
      <c r="I127" s="9" t="str">
        <f>IF(H127="","",ROUNDDOWN(H127*設定!$C$4,0))</f>
        <v/>
      </c>
      <c r="J127" s="10" t="str">
        <f t="shared" si="6"/>
        <v/>
      </c>
      <c r="K127" s="35" t="str">
        <f>IF(D127="","",D127+設定!$C$5)</f>
        <v/>
      </c>
      <c r="L127" s="11" t="str">
        <f t="shared" ca="1" si="7"/>
        <v/>
      </c>
      <c r="M127" s="31"/>
      <c r="N127" s="36"/>
      <c r="O127" s="32"/>
      <c r="P127" s="29"/>
    </row>
    <row r="128" spans="2:16" ht="19.5" customHeight="1">
      <c r="B128" s="8" t="str">
        <f>IF(D128="","",COUNT($D$10:D128))</f>
        <v/>
      </c>
      <c r="C128" s="28"/>
      <c r="D128" s="36"/>
      <c r="E128" s="30"/>
      <c r="F128" s="30"/>
      <c r="G128" s="31"/>
      <c r="H128" s="32"/>
      <c r="I128" s="9" t="str">
        <f>IF(H128="","",ROUNDDOWN(H128*設定!$C$4,0))</f>
        <v/>
      </c>
      <c r="J128" s="10" t="str">
        <f t="shared" si="6"/>
        <v/>
      </c>
      <c r="K128" s="35" t="str">
        <f>IF(D128="","",D128+設定!$C$5)</f>
        <v/>
      </c>
      <c r="L128" s="11" t="str">
        <f t="shared" ca="1" si="7"/>
        <v/>
      </c>
      <c r="M128" s="31"/>
      <c r="N128" s="36"/>
      <c r="O128" s="32"/>
      <c r="P128" s="29"/>
    </row>
    <row r="129" spans="2:16" ht="19.5" customHeight="1">
      <c r="B129" s="8" t="str">
        <f>IF(D129="","",COUNT($D$10:D129))</f>
        <v/>
      </c>
      <c r="C129" s="28"/>
      <c r="D129" s="36"/>
      <c r="E129" s="30"/>
      <c r="F129" s="30"/>
      <c r="G129" s="31"/>
      <c r="H129" s="32"/>
      <c r="I129" s="9" t="str">
        <f>IF(H129="","",ROUNDDOWN(H129*設定!$C$4,0))</f>
        <v/>
      </c>
      <c r="J129" s="10" t="str">
        <f t="shared" si="6"/>
        <v/>
      </c>
      <c r="K129" s="35" t="str">
        <f>IF(D129="","",D129+設定!$C$5)</f>
        <v/>
      </c>
      <c r="L129" s="11" t="str">
        <f t="shared" ca="1" si="7"/>
        <v/>
      </c>
      <c r="M129" s="31"/>
      <c r="N129" s="36"/>
      <c r="O129" s="32"/>
      <c r="P129" s="29"/>
    </row>
    <row r="130" spans="2:16" ht="19.5" customHeight="1">
      <c r="B130" s="8" t="str">
        <f>IF(D130="","",COUNT($D$10:D130))</f>
        <v/>
      </c>
      <c r="C130" s="28"/>
      <c r="D130" s="36"/>
      <c r="E130" s="30"/>
      <c r="F130" s="30"/>
      <c r="G130" s="31"/>
      <c r="H130" s="32"/>
      <c r="I130" s="9" t="str">
        <f>IF(H130="","",ROUNDDOWN(H130*設定!$C$4,0))</f>
        <v/>
      </c>
      <c r="J130" s="10" t="str">
        <f t="shared" si="6"/>
        <v/>
      </c>
      <c r="K130" s="35" t="str">
        <f>IF(D130="","",D130+設定!$C$5)</f>
        <v/>
      </c>
      <c r="L130" s="11" t="str">
        <f t="shared" ca="1" si="7"/>
        <v/>
      </c>
      <c r="M130" s="31"/>
      <c r="N130" s="36"/>
      <c r="O130" s="32"/>
      <c r="P130" s="29"/>
    </row>
    <row r="131" spans="2:16" ht="19.5" customHeight="1">
      <c r="B131" s="8" t="str">
        <f>IF(D131="","",COUNT($D$10:D131))</f>
        <v/>
      </c>
      <c r="C131" s="28"/>
      <c r="D131" s="36"/>
      <c r="E131" s="30"/>
      <c r="F131" s="30"/>
      <c r="G131" s="31"/>
      <c r="H131" s="32"/>
      <c r="I131" s="9" t="str">
        <f>IF(H131="","",ROUNDDOWN(H131*設定!$C$4,0))</f>
        <v/>
      </c>
      <c r="J131" s="10" t="str">
        <f t="shared" si="6"/>
        <v/>
      </c>
      <c r="K131" s="35" t="str">
        <f>IF(D131="","",D131+設定!$C$5)</f>
        <v/>
      </c>
      <c r="L131" s="11" t="str">
        <f t="shared" ca="1" si="7"/>
        <v/>
      </c>
      <c r="M131" s="31"/>
      <c r="N131" s="36"/>
      <c r="O131" s="32"/>
      <c r="P131" s="29"/>
    </row>
    <row r="132" spans="2:16" ht="19.5" customHeight="1">
      <c r="B132" s="8" t="str">
        <f>IF(D132="","",COUNT($D$10:D132))</f>
        <v/>
      </c>
      <c r="C132" s="28"/>
      <c r="D132" s="36"/>
      <c r="E132" s="30"/>
      <c r="F132" s="30"/>
      <c r="G132" s="31"/>
      <c r="H132" s="32"/>
      <c r="I132" s="9" t="str">
        <f>IF(H132="","",ROUNDDOWN(H132*設定!$C$4,0))</f>
        <v/>
      </c>
      <c r="J132" s="10" t="str">
        <f t="shared" si="6"/>
        <v/>
      </c>
      <c r="K132" s="35" t="str">
        <f>IF(D132="","",D132+設定!$C$5)</f>
        <v/>
      </c>
      <c r="L132" s="11" t="str">
        <f t="shared" ca="1" si="7"/>
        <v/>
      </c>
      <c r="M132" s="31"/>
      <c r="N132" s="36"/>
      <c r="O132" s="32"/>
      <c r="P132" s="29"/>
    </row>
    <row r="133" spans="2:16" ht="19.5" customHeight="1">
      <c r="B133" s="8" t="str">
        <f>IF(D133="","",COUNT($D$10:D133))</f>
        <v/>
      </c>
      <c r="C133" s="28"/>
      <c r="D133" s="36"/>
      <c r="E133" s="30"/>
      <c r="F133" s="30"/>
      <c r="G133" s="31"/>
      <c r="H133" s="32"/>
      <c r="I133" s="9" t="str">
        <f>IF(H133="","",ROUNDDOWN(H133*設定!$C$4,0))</f>
        <v/>
      </c>
      <c r="J133" s="10" t="str">
        <f t="shared" si="6"/>
        <v/>
      </c>
      <c r="K133" s="35" t="str">
        <f>IF(D133="","",D133+設定!$C$5)</f>
        <v/>
      </c>
      <c r="L133" s="11" t="str">
        <f t="shared" ca="1" si="7"/>
        <v/>
      </c>
      <c r="M133" s="31"/>
      <c r="N133" s="36"/>
      <c r="O133" s="32"/>
      <c r="P133" s="29"/>
    </row>
    <row r="134" spans="2:16" ht="19.5" customHeight="1">
      <c r="B134" s="8" t="str">
        <f>IF(D134="","",COUNT($D$10:D134))</f>
        <v/>
      </c>
      <c r="C134" s="28"/>
      <c r="D134" s="36"/>
      <c r="E134" s="30"/>
      <c r="F134" s="30"/>
      <c r="G134" s="31"/>
      <c r="H134" s="32"/>
      <c r="I134" s="9" t="str">
        <f>IF(H134="","",ROUNDDOWN(H134*設定!$C$4,0))</f>
        <v/>
      </c>
      <c r="J134" s="10" t="str">
        <f t="shared" si="6"/>
        <v/>
      </c>
      <c r="K134" s="35" t="str">
        <f>IF(D134="","",D134+設定!$C$5)</f>
        <v/>
      </c>
      <c r="L134" s="11" t="str">
        <f t="shared" ca="1" si="7"/>
        <v/>
      </c>
      <c r="M134" s="31"/>
      <c r="N134" s="36"/>
      <c r="O134" s="32"/>
      <c r="P134" s="29"/>
    </row>
    <row r="135" spans="2:16" ht="19.5" customHeight="1">
      <c r="B135" s="8" t="str">
        <f>IF(D135="","",COUNT($D$10:D135))</f>
        <v/>
      </c>
      <c r="C135" s="28"/>
      <c r="D135" s="36"/>
      <c r="E135" s="30"/>
      <c r="F135" s="30"/>
      <c r="G135" s="31"/>
      <c r="H135" s="32"/>
      <c r="I135" s="9" t="str">
        <f>IF(H135="","",ROUNDDOWN(H135*設定!$C$4,0))</f>
        <v/>
      </c>
      <c r="J135" s="10" t="str">
        <f t="shared" si="6"/>
        <v/>
      </c>
      <c r="K135" s="35" t="str">
        <f>IF(D135="","",D135+設定!$C$5)</f>
        <v/>
      </c>
      <c r="L135" s="11" t="str">
        <f t="shared" ca="1" si="7"/>
        <v/>
      </c>
      <c r="M135" s="31"/>
      <c r="N135" s="36"/>
      <c r="O135" s="32"/>
      <c r="P135" s="29"/>
    </row>
    <row r="136" spans="2:16" ht="19.5" customHeight="1">
      <c r="B136" s="8" t="str">
        <f>IF(D136="","",COUNT($D$10:D136))</f>
        <v/>
      </c>
      <c r="C136" s="28"/>
      <c r="D136" s="36"/>
      <c r="E136" s="30"/>
      <c r="F136" s="30"/>
      <c r="G136" s="31"/>
      <c r="H136" s="32"/>
      <c r="I136" s="9" t="str">
        <f>IF(H136="","",ROUNDDOWN(H136*設定!$C$4,0))</f>
        <v/>
      </c>
      <c r="J136" s="10" t="str">
        <f t="shared" si="6"/>
        <v/>
      </c>
      <c r="K136" s="35" t="str">
        <f>IF(D136="","",D136+設定!$C$5)</f>
        <v/>
      </c>
      <c r="L136" s="11" t="str">
        <f t="shared" ca="1" si="7"/>
        <v/>
      </c>
      <c r="M136" s="31"/>
      <c r="N136" s="36"/>
      <c r="O136" s="32"/>
      <c r="P136" s="29"/>
    </row>
    <row r="137" spans="2:16" ht="19.5" customHeight="1">
      <c r="B137" s="8" t="str">
        <f>IF(D137="","",COUNT($D$10:D137))</f>
        <v/>
      </c>
      <c r="C137" s="28"/>
      <c r="D137" s="36"/>
      <c r="E137" s="30"/>
      <c r="F137" s="30"/>
      <c r="G137" s="31"/>
      <c r="H137" s="32"/>
      <c r="I137" s="9" t="str">
        <f>IF(H137="","",ROUNDDOWN(H137*設定!$C$4,0))</f>
        <v/>
      </c>
      <c r="J137" s="10" t="str">
        <f t="shared" si="6"/>
        <v/>
      </c>
      <c r="K137" s="35" t="str">
        <f>IF(D137="","",D137+設定!$C$5)</f>
        <v/>
      </c>
      <c r="L137" s="11" t="str">
        <f t="shared" ca="1" si="7"/>
        <v/>
      </c>
      <c r="M137" s="31"/>
      <c r="N137" s="36"/>
      <c r="O137" s="32"/>
      <c r="P137" s="29"/>
    </row>
    <row r="138" spans="2:16" ht="19.5" customHeight="1">
      <c r="B138" s="8" t="str">
        <f>IF(D138="","",COUNT($D$10:D138))</f>
        <v/>
      </c>
      <c r="C138" s="28"/>
      <c r="D138" s="36"/>
      <c r="E138" s="30"/>
      <c r="F138" s="30"/>
      <c r="G138" s="31"/>
      <c r="H138" s="32"/>
      <c r="I138" s="9" t="str">
        <f>IF(H138="","",ROUNDDOWN(H138*設定!$C$4,0))</f>
        <v/>
      </c>
      <c r="J138" s="10" t="str">
        <f t="shared" ref="J138:J169" si="8">IF(H138="","",H138+I138)</f>
        <v/>
      </c>
      <c r="K138" s="35" t="str">
        <f>IF(D138="","",D138+設定!$C$5)</f>
        <v/>
      </c>
      <c r="L138" s="11" t="str">
        <f t="shared" ref="L138:L169" ca="1" si="9">IF(OR(D138="",M138="受注",M138="失注"),"",K138-TODAY())</f>
        <v/>
      </c>
      <c r="M138" s="31"/>
      <c r="N138" s="36"/>
      <c r="O138" s="32"/>
      <c r="P138" s="29"/>
    </row>
    <row r="139" spans="2:16" ht="19.5" customHeight="1">
      <c r="B139" s="8" t="str">
        <f>IF(D139="","",COUNT($D$10:D139))</f>
        <v/>
      </c>
      <c r="C139" s="28"/>
      <c r="D139" s="36"/>
      <c r="E139" s="30"/>
      <c r="F139" s="30"/>
      <c r="G139" s="31"/>
      <c r="H139" s="32"/>
      <c r="I139" s="9" t="str">
        <f>IF(H139="","",ROUNDDOWN(H139*設定!$C$4,0))</f>
        <v/>
      </c>
      <c r="J139" s="10" t="str">
        <f t="shared" si="8"/>
        <v/>
      </c>
      <c r="K139" s="35" t="str">
        <f>IF(D139="","",D139+設定!$C$5)</f>
        <v/>
      </c>
      <c r="L139" s="11" t="str">
        <f t="shared" ca="1" si="9"/>
        <v/>
      </c>
      <c r="M139" s="31"/>
      <c r="N139" s="36"/>
      <c r="O139" s="32"/>
      <c r="P139" s="29"/>
    </row>
    <row r="140" spans="2:16" ht="19.5" customHeight="1">
      <c r="B140" s="8" t="str">
        <f>IF(D140="","",COUNT($D$10:D140))</f>
        <v/>
      </c>
      <c r="C140" s="28"/>
      <c r="D140" s="36"/>
      <c r="E140" s="30"/>
      <c r="F140" s="30"/>
      <c r="G140" s="31"/>
      <c r="H140" s="32"/>
      <c r="I140" s="9" t="str">
        <f>IF(H140="","",ROUNDDOWN(H140*設定!$C$4,0))</f>
        <v/>
      </c>
      <c r="J140" s="10" t="str">
        <f t="shared" si="8"/>
        <v/>
      </c>
      <c r="K140" s="35" t="str">
        <f>IF(D140="","",D140+設定!$C$5)</f>
        <v/>
      </c>
      <c r="L140" s="11" t="str">
        <f t="shared" ca="1" si="9"/>
        <v/>
      </c>
      <c r="M140" s="31"/>
      <c r="N140" s="36"/>
      <c r="O140" s="32"/>
      <c r="P140" s="29"/>
    </row>
    <row r="141" spans="2:16" ht="19.5" customHeight="1">
      <c r="B141" s="8" t="str">
        <f>IF(D141="","",COUNT($D$10:D141))</f>
        <v/>
      </c>
      <c r="C141" s="28"/>
      <c r="D141" s="36"/>
      <c r="E141" s="30"/>
      <c r="F141" s="30"/>
      <c r="G141" s="31"/>
      <c r="H141" s="32"/>
      <c r="I141" s="9" t="str">
        <f>IF(H141="","",ROUNDDOWN(H141*設定!$C$4,0))</f>
        <v/>
      </c>
      <c r="J141" s="10" t="str">
        <f t="shared" si="8"/>
        <v/>
      </c>
      <c r="K141" s="35" t="str">
        <f>IF(D141="","",D141+設定!$C$5)</f>
        <v/>
      </c>
      <c r="L141" s="11" t="str">
        <f t="shared" ca="1" si="9"/>
        <v/>
      </c>
      <c r="M141" s="31"/>
      <c r="N141" s="36"/>
      <c r="O141" s="32"/>
      <c r="P141" s="29"/>
    </row>
    <row r="142" spans="2:16" ht="19.5" customHeight="1">
      <c r="B142" s="8" t="str">
        <f>IF(D142="","",COUNT($D$10:D142))</f>
        <v/>
      </c>
      <c r="C142" s="28"/>
      <c r="D142" s="36"/>
      <c r="E142" s="30"/>
      <c r="F142" s="30"/>
      <c r="G142" s="31"/>
      <c r="H142" s="32"/>
      <c r="I142" s="9" t="str">
        <f>IF(H142="","",ROUNDDOWN(H142*設定!$C$4,0))</f>
        <v/>
      </c>
      <c r="J142" s="10" t="str">
        <f t="shared" si="8"/>
        <v/>
      </c>
      <c r="K142" s="35" t="str">
        <f>IF(D142="","",D142+設定!$C$5)</f>
        <v/>
      </c>
      <c r="L142" s="11" t="str">
        <f t="shared" ca="1" si="9"/>
        <v/>
      </c>
      <c r="M142" s="31"/>
      <c r="N142" s="36"/>
      <c r="O142" s="32"/>
      <c r="P142" s="29"/>
    </row>
    <row r="143" spans="2:16" ht="19.5" customHeight="1">
      <c r="B143" s="8" t="str">
        <f>IF(D143="","",COUNT($D$10:D143))</f>
        <v/>
      </c>
      <c r="C143" s="28"/>
      <c r="D143" s="36"/>
      <c r="E143" s="30"/>
      <c r="F143" s="30"/>
      <c r="G143" s="31"/>
      <c r="H143" s="32"/>
      <c r="I143" s="9" t="str">
        <f>IF(H143="","",ROUNDDOWN(H143*設定!$C$4,0))</f>
        <v/>
      </c>
      <c r="J143" s="10" t="str">
        <f t="shared" si="8"/>
        <v/>
      </c>
      <c r="K143" s="35" t="str">
        <f>IF(D143="","",D143+設定!$C$5)</f>
        <v/>
      </c>
      <c r="L143" s="11" t="str">
        <f t="shared" ca="1" si="9"/>
        <v/>
      </c>
      <c r="M143" s="31"/>
      <c r="N143" s="36"/>
      <c r="O143" s="32"/>
      <c r="P143" s="29"/>
    </row>
    <row r="144" spans="2:16" ht="19.5" customHeight="1">
      <c r="B144" s="8" t="str">
        <f>IF(D144="","",COUNT($D$10:D144))</f>
        <v/>
      </c>
      <c r="C144" s="28"/>
      <c r="D144" s="36"/>
      <c r="E144" s="30"/>
      <c r="F144" s="30"/>
      <c r="G144" s="31"/>
      <c r="H144" s="32"/>
      <c r="I144" s="9" t="str">
        <f>IF(H144="","",ROUNDDOWN(H144*設定!$C$4,0))</f>
        <v/>
      </c>
      <c r="J144" s="10" t="str">
        <f t="shared" si="8"/>
        <v/>
      </c>
      <c r="K144" s="35" t="str">
        <f>IF(D144="","",D144+設定!$C$5)</f>
        <v/>
      </c>
      <c r="L144" s="11" t="str">
        <f t="shared" ca="1" si="9"/>
        <v/>
      </c>
      <c r="M144" s="31"/>
      <c r="N144" s="36"/>
      <c r="O144" s="32"/>
      <c r="P144" s="29"/>
    </row>
    <row r="145" spans="2:16" ht="19.5" customHeight="1">
      <c r="B145" s="8" t="str">
        <f>IF(D145="","",COUNT($D$10:D145))</f>
        <v/>
      </c>
      <c r="C145" s="28"/>
      <c r="D145" s="36"/>
      <c r="E145" s="30"/>
      <c r="F145" s="30"/>
      <c r="G145" s="31"/>
      <c r="H145" s="32"/>
      <c r="I145" s="9" t="str">
        <f>IF(H145="","",ROUNDDOWN(H145*設定!$C$4,0))</f>
        <v/>
      </c>
      <c r="J145" s="10" t="str">
        <f t="shared" si="8"/>
        <v/>
      </c>
      <c r="K145" s="35" t="str">
        <f>IF(D145="","",D145+設定!$C$5)</f>
        <v/>
      </c>
      <c r="L145" s="11" t="str">
        <f t="shared" ca="1" si="9"/>
        <v/>
      </c>
      <c r="M145" s="31"/>
      <c r="N145" s="36"/>
      <c r="O145" s="32"/>
      <c r="P145" s="29"/>
    </row>
    <row r="146" spans="2:16" ht="19.5" customHeight="1">
      <c r="B146" s="8" t="str">
        <f>IF(D146="","",COUNT($D$10:D146))</f>
        <v/>
      </c>
      <c r="C146" s="28"/>
      <c r="D146" s="36"/>
      <c r="E146" s="30"/>
      <c r="F146" s="30"/>
      <c r="G146" s="31"/>
      <c r="H146" s="32"/>
      <c r="I146" s="9" t="str">
        <f>IF(H146="","",ROUNDDOWN(H146*設定!$C$4,0))</f>
        <v/>
      </c>
      <c r="J146" s="10" t="str">
        <f t="shared" si="8"/>
        <v/>
      </c>
      <c r="K146" s="35" t="str">
        <f>IF(D146="","",D146+設定!$C$5)</f>
        <v/>
      </c>
      <c r="L146" s="11" t="str">
        <f t="shared" ca="1" si="9"/>
        <v/>
      </c>
      <c r="M146" s="31"/>
      <c r="N146" s="36"/>
      <c r="O146" s="32"/>
      <c r="P146" s="29"/>
    </row>
    <row r="147" spans="2:16" ht="19.5" customHeight="1">
      <c r="B147" s="8" t="str">
        <f>IF(D147="","",COUNT($D$10:D147))</f>
        <v/>
      </c>
      <c r="C147" s="28"/>
      <c r="D147" s="36"/>
      <c r="E147" s="30"/>
      <c r="F147" s="30"/>
      <c r="G147" s="31"/>
      <c r="H147" s="32"/>
      <c r="I147" s="9" t="str">
        <f>IF(H147="","",ROUNDDOWN(H147*設定!$C$4,0))</f>
        <v/>
      </c>
      <c r="J147" s="10" t="str">
        <f t="shared" si="8"/>
        <v/>
      </c>
      <c r="K147" s="35" t="str">
        <f>IF(D147="","",D147+設定!$C$5)</f>
        <v/>
      </c>
      <c r="L147" s="11" t="str">
        <f t="shared" ca="1" si="9"/>
        <v/>
      </c>
      <c r="M147" s="31"/>
      <c r="N147" s="36"/>
      <c r="O147" s="32"/>
      <c r="P147" s="29"/>
    </row>
    <row r="148" spans="2:16" ht="19.5" customHeight="1">
      <c r="B148" s="8" t="str">
        <f>IF(D148="","",COUNT($D$10:D148))</f>
        <v/>
      </c>
      <c r="C148" s="28"/>
      <c r="D148" s="36"/>
      <c r="E148" s="30"/>
      <c r="F148" s="30"/>
      <c r="G148" s="31"/>
      <c r="H148" s="32"/>
      <c r="I148" s="9" t="str">
        <f>IF(H148="","",ROUNDDOWN(H148*設定!$C$4,0))</f>
        <v/>
      </c>
      <c r="J148" s="10" t="str">
        <f t="shared" si="8"/>
        <v/>
      </c>
      <c r="K148" s="35" t="str">
        <f>IF(D148="","",D148+設定!$C$5)</f>
        <v/>
      </c>
      <c r="L148" s="11" t="str">
        <f t="shared" ca="1" si="9"/>
        <v/>
      </c>
      <c r="M148" s="31"/>
      <c r="N148" s="36"/>
      <c r="O148" s="32"/>
      <c r="P148" s="29"/>
    </row>
    <row r="149" spans="2:16" ht="19.5" customHeight="1">
      <c r="B149" s="8" t="str">
        <f>IF(D149="","",COUNT($D$10:D149))</f>
        <v/>
      </c>
      <c r="C149" s="28"/>
      <c r="D149" s="36"/>
      <c r="E149" s="30"/>
      <c r="F149" s="30"/>
      <c r="G149" s="31"/>
      <c r="H149" s="32"/>
      <c r="I149" s="9" t="str">
        <f>IF(H149="","",ROUNDDOWN(H149*設定!$C$4,0))</f>
        <v/>
      </c>
      <c r="J149" s="10" t="str">
        <f t="shared" si="8"/>
        <v/>
      </c>
      <c r="K149" s="35" t="str">
        <f>IF(D149="","",D149+設定!$C$5)</f>
        <v/>
      </c>
      <c r="L149" s="11" t="str">
        <f t="shared" ca="1" si="9"/>
        <v/>
      </c>
      <c r="M149" s="31"/>
      <c r="N149" s="36"/>
      <c r="O149" s="32"/>
      <c r="P149" s="29"/>
    </row>
    <row r="150" spans="2:16" ht="19.5" customHeight="1">
      <c r="B150" s="8" t="str">
        <f>IF(D150="","",COUNT($D$10:D150))</f>
        <v/>
      </c>
      <c r="C150" s="28"/>
      <c r="D150" s="36"/>
      <c r="E150" s="30"/>
      <c r="F150" s="30"/>
      <c r="G150" s="31"/>
      <c r="H150" s="32"/>
      <c r="I150" s="9" t="str">
        <f>IF(H150="","",ROUNDDOWN(H150*設定!$C$4,0))</f>
        <v/>
      </c>
      <c r="J150" s="10" t="str">
        <f t="shared" si="8"/>
        <v/>
      </c>
      <c r="K150" s="35" t="str">
        <f>IF(D150="","",D150+設定!$C$5)</f>
        <v/>
      </c>
      <c r="L150" s="11" t="str">
        <f t="shared" ca="1" si="9"/>
        <v/>
      </c>
      <c r="M150" s="31"/>
      <c r="N150" s="36"/>
      <c r="O150" s="32"/>
      <c r="P150" s="29"/>
    </row>
    <row r="151" spans="2:16" ht="19.5" customHeight="1">
      <c r="B151" s="8" t="str">
        <f>IF(D151="","",COUNT($D$10:D151))</f>
        <v/>
      </c>
      <c r="C151" s="28"/>
      <c r="D151" s="36"/>
      <c r="E151" s="30"/>
      <c r="F151" s="30"/>
      <c r="G151" s="31"/>
      <c r="H151" s="32"/>
      <c r="I151" s="9" t="str">
        <f>IF(H151="","",ROUNDDOWN(H151*設定!$C$4,0))</f>
        <v/>
      </c>
      <c r="J151" s="10" t="str">
        <f t="shared" si="8"/>
        <v/>
      </c>
      <c r="K151" s="35" t="str">
        <f>IF(D151="","",D151+設定!$C$5)</f>
        <v/>
      </c>
      <c r="L151" s="11" t="str">
        <f t="shared" ca="1" si="9"/>
        <v/>
      </c>
      <c r="M151" s="31"/>
      <c r="N151" s="36"/>
      <c r="O151" s="32"/>
      <c r="P151" s="29"/>
    </row>
    <row r="152" spans="2:16" ht="19.5" customHeight="1">
      <c r="B152" s="8" t="str">
        <f>IF(D152="","",COUNT($D$10:D152))</f>
        <v/>
      </c>
      <c r="C152" s="28"/>
      <c r="D152" s="36"/>
      <c r="E152" s="30"/>
      <c r="F152" s="30"/>
      <c r="G152" s="31"/>
      <c r="H152" s="32"/>
      <c r="I152" s="9" t="str">
        <f>IF(H152="","",ROUNDDOWN(H152*設定!$C$4,0))</f>
        <v/>
      </c>
      <c r="J152" s="10" t="str">
        <f t="shared" si="8"/>
        <v/>
      </c>
      <c r="K152" s="35" t="str">
        <f>IF(D152="","",D152+設定!$C$5)</f>
        <v/>
      </c>
      <c r="L152" s="11" t="str">
        <f t="shared" ca="1" si="9"/>
        <v/>
      </c>
      <c r="M152" s="31"/>
      <c r="N152" s="36"/>
      <c r="O152" s="32"/>
      <c r="P152" s="29"/>
    </row>
    <row r="153" spans="2:16" ht="19.5" customHeight="1">
      <c r="B153" s="8" t="str">
        <f>IF(D153="","",COUNT($D$10:D153))</f>
        <v/>
      </c>
      <c r="C153" s="28"/>
      <c r="D153" s="36"/>
      <c r="E153" s="30"/>
      <c r="F153" s="30"/>
      <c r="G153" s="31"/>
      <c r="H153" s="32"/>
      <c r="I153" s="9" t="str">
        <f>IF(H153="","",ROUNDDOWN(H153*設定!$C$4,0))</f>
        <v/>
      </c>
      <c r="J153" s="10" t="str">
        <f t="shared" si="8"/>
        <v/>
      </c>
      <c r="K153" s="35" t="str">
        <f>IF(D153="","",D153+設定!$C$5)</f>
        <v/>
      </c>
      <c r="L153" s="11" t="str">
        <f t="shared" ca="1" si="9"/>
        <v/>
      </c>
      <c r="M153" s="31"/>
      <c r="N153" s="36"/>
      <c r="O153" s="32"/>
      <c r="P153" s="29"/>
    </row>
    <row r="154" spans="2:16" ht="19.5" customHeight="1">
      <c r="B154" s="8" t="str">
        <f>IF(D154="","",COUNT($D$10:D154))</f>
        <v/>
      </c>
      <c r="C154" s="28"/>
      <c r="D154" s="36"/>
      <c r="E154" s="30"/>
      <c r="F154" s="30"/>
      <c r="G154" s="31"/>
      <c r="H154" s="32"/>
      <c r="I154" s="9" t="str">
        <f>IF(H154="","",ROUNDDOWN(H154*設定!$C$4,0))</f>
        <v/>
      </c>
      <c r="J154" s="10" t="str">
        <f t="shared" si="8"/>
        <v/>
      </c>
      <c r="K154" s="35" t="str">
        <f>IF(D154="","",D154+設定!$C$5)</f>
        <v/>
      </c>
      <c r="L154" s="11" t="str">
        <f t="shared" ca="1" si="9"/>
        <v/>
      </c>
      <c r="M154" s="31"/>
      <c r="N154" s="36"/>
      <c r="O154" s="32"/>
      <c r="P154" s="29"/>
    </row>
    <row r="155" spans="2:16" ht="19.5" customHeight="1">
      <c r="B155" s="8" t="str">
        <f>IF(D155="","",COUNT($D$10:D155))</f>
        <v/>
      </c>
      <c r="C155" s="28"/>
      <c r="D155" s="36"/>
      <c r="E155" s="30"/>
      <c r="F155" s="30"/>
      <c r="G155" s="31"/>
      <c r="H155" s="32"/>
      <c r="I155" s="9" t="str">
        <f>IF(H155="","",ROUNDDOWN(H155*設定!$C$4,0))</f>
        <v/>
      </c>
      <c r="J155" s="10" t="str">
        <f t="shared" si="8"/>
        <v/>
      </c>
      <c r="K155" s="35" t="str">
        <f>IF(D155="","",D155+設定!$C$5)</f>
        <v/>
      </c>
      <c r="L155" s="11" t="str">
        <f t="shared" ca="1" si="9"/>
        <v/>
      </c>
      <c r="M155" s="31"/>
      <c r="N155" s="36"/>
      <c r="O155" s="32"/>
      <c r="P155" s="29"/>
    </row>
    <row r="156" spans="2:16" ht="19.5" customHeight="1">
      <c r="B156" s="8" t="str">
        <f>IF(D156="","",COUNT($D$10:D156))</f>
        <v/>
      </c>
      <c r="C156" s="28"/>
      <c r="D156" s="36"/>
      <c r="E156" s="30"/>
      <c r="F156" s="30"/>
      <c r="G156" s="31"/>
      <c r="H156" s="32"/>
      <c r="I156" s="9" t="str">
        <f>IF(H156="","",ROUNDDOWN(H156*設定!$C$4,0))</f>
        <v/>
      </c>
      <c r="J156" s="10" t="str">
        <f t="shared" si="8"/>
        <v/>
      </c>
      <c r="K156" s="35" t="str">
        <f>IF(D156="","",D156+設定!$C$5)</f>
        <v/>
      </c>
      <c r="L156" s="11" t="str">
        <f t="shared" ca="1" si="9"/>
        <v/>
      </c>
      <c r="M156" s="31"/>
      <c r="N156" s="36"/>
      <c r="O156" s="32"/>
      <c r="P156" s="29"/>
    </row>
    <row r="157" spans="2:16" ht="19.5" customHeight="1">
      <c r="B157" s="8" t="str">
        <f>IF(D157="","",COUNT($D$10:D157))</f>
        <v/>
      </c>
      <c r="C157" s="28"/>
      <c r="D157" s="36"/>
      <c r="E157" s="30"/>
      <c r="F157" s="30"/>
      <c r="G157" s="31"/>
      <c r="H157" s="32"/>
      <c r="I157" s="9" t="str">
        <f>IF(H157="","",ROUNDDOWN(H157*設定!$C$4,0))</f>
        <v/>
      </c>
      <c r="J157" s="10" t="str">
        <f t="shared" si="8"/>
        <v/>
      </c>
      <c r="K157" s="35" t="str">
        <f>IF(D157="","",D157+設定!$C$5)</f>
        <v/>
      </c>
      <c r="L157" s="11" t="str">
        <f t="shared" ca="1" si="9"/>
        <v/>
      </c>
      <c r="M157" s="31"/>
      <c r="N157" s="36"/>
      <c r="O157" s="32"/>
      <c r="P157" s="29"/>
    </row>
    <row r="158" spans="2:16" ht="19.5" customHeight="1">
      <c r="B158" s="8" t="str">
        <f>IF(D158="","",COUNT($D$10:D158))</f>
        <v/>
      </c>
      <c r="C158" s="28"/>
      <c r="D158" s="36"/>
      <c r="E158" s="30"/>
      <c r="F158" s="30"/>
      <c r="G158" s="31"/>
      <c r="H158" s="32"/>
      <c r="I158" s="9" t="str">
        <f>IF(H158="","",ROUNDDOWN(H158*設定!$C$4,0))</f>
        <v/>
      </c>
      <c r="J158" s="10" t="str">
        <f t="shared" si="8"/>
        <v/>
      </c>
      <c r="K158" s="35" t="str">
        <f>IF(D158="","",D158+設定!$C$5)</f>
        <v/>
      </c>
      <c r="L158" s="11" t="str">
        <f t="shared" ca="1" si="9"/>
        <v/>
      </c>
      <c r="M158" s="31"/>
      <c r="N158" s="36"/>
      <c r="O158" s="32"/>
      <c r="P158" s="29"/>
    </row>
    <row r="159" spans="2:16" ht="19.5" customHeight="1">
      <c r="B159" s="8" t="str">
        <f>IF(D159="","",COUNT($D$10:D159))</f>
        <v/>
      </c>
      <c r="C159" s="28"/>
      <c r="D159" s="36"/>
      <c r="E159" s="30"/>
      <c r="F159" s="30"/>
      <c r="G159" s="31"/>
      <c r="H159" s="32"/>
      <c r="I159" s="9" t="str">
        <f>IF(H159="","",ROUNDDOWN(H159*設定!$C$4,0))</f>
        <v/>
      </c>
      <c r="J159" s="10" t="str">
        <f t="shared" si="8"/>
        <v/>
      </c>
      <c r="K159" s="35" t="str">
        <f>IF(D159="","",D159+設定!$C$5)</f>
        <v/>
      </c>
      <c r="L159" s="11" t="str">
        <f t="shared" ca="1" si="9"/>
        <v/>
      </c>
      <c r="M159" s="31"/>
      <c r="N159" s="36"/>
      <c r="O159" s="32"/>
      <c r="P159" s="29"/>
    </row>
    <row r="160" spans="2:16" ht="19.5" customHeight="1">
      <c r="B160" s="8" t="str">
        <f>IF(D160="","",COUNT($D$10:D160))</f>
        <v/>
      </c>
      <c r="C160" s="28"/>
      <c r="D160" s="36"/>
      <c r="E160" s="30"/>
      <c r="F160" s="30"/>
      <c r="G160" s="31"/>
      <c r="H160" s="32"/>
      <c r="I160" s="9" t="str">
        <f>IF(H160="","",ROUNDDOWN(H160*設定!$C$4,0))</f>
        <v/>
      </c>
      <c r="J160" s="10" t="str">
        <f t="shared" si="8"/>
        <v/>
      </c>
      <c r="K160" s="35" t="str">
        <f>IF(D160="","",D160+設定!$C$5)</f>
        <v/>
      </c>
      <c r="L160" s="11" t="str">
        <f t="shared" ca="1" si="9"/>
        <v/>
      </c>
      <c r="M160" s="31"/>
      <c r="N160" s="36"/>
      <c r="O160" s="32"/>
      <c r="P160" s="29"/>
    </row>
    <row r="161" spans="2:16" ht="19.5" customHeight="1">
      <c r="B161" s="8" t="str">
        <f>IF(D161="","",COUNT($D$10:D161))</f>
        <v/>
      </c>
      <c r="C161" s="28"/>
      <c r="D161" s="36"/>
      <c r="E161" s="30"/>
      <c r="F161" s="30"/>
      <c r="G161" s="31"/>
      <c r="H161" s="32"/>
      <c r="I161" s="9" t="str">
        <f>IF(H161="","",ROUNDDOWN(H161*設定!$C$4,0))</f>
        <v/>
      </c>
      <c r="J161" s="10" t="str">
        <f t="shared" si="8"/>
        <v/>
      </c>
      <c r="K161" s="35" t="str">
        <f>IF(D161="","",D161+設定!$C$5)</f>
        <v/>
      </c>
      <c r="L161" s="11" t="str">
        <f t="shared" ca="1" si="9"/>
        <v/>
      </c>
      <c r="M161" s="31"/>
      <c r="N161" s="36"/>
      <c r="O161" s="32"/>
      <c r="P161" s="29"/>
    </row>
    <row r="162" spans="2:16" ht="19.5" customHeight="1">
      <c r="B162" s="8" t="str">
        <f>IF(D162="","",COUNT($D$10:D162))</f>
        <v/>
      </c>
      <c r="C162" s="28"/>
      <c r="D162" s="36"/>
      <c r="E162" s="30"/>
      <c r="F162" s="30"/>
      <c r="G162" s="31"/>
      <c r="H162" s="32"/>
      <c r="I162" s="9" t="str">
        <f>IF(H162="","",ROUNDDOWN(H162*設定!$C$4,0))</f>
        <v/>
      </c>
      <c r="J162" s="10" t="str">
        <f t="shared" si="8"/>
        <v/>
      </c>
      <c r="K162" s="35" t="str">
        <f>IF(D162="","",D162+設定!$C$5)</f>
        <v/>
      </c>
      <c r="L162" s="11" t="str">
        <f t="shared" ca="1" si="9"/>
        <v/>
      </c>
      <c r="M162" s="31"/>
      <c r="N162" s="36"/>
      <c r="O162" s="32"/>
      <c r="P162" s="29"/>
    </row>
    <row r="163" spans="2:16" ht="19.5" customHeight="1">
      <c r="B163" s="8" t="str">
        <f>IF(D163="","",COUNT($D$10:D163))</f>
        <v/>
      </c>
      <c r="C163" s="28"/>
      <c r="D163" s="36"/>
      <c r="E163" s="30"/>
      <c r="F163" s="30"/>
      <c r="G163" s="31"/>
      <c r="H163" s="32"/>
      <c r="I163" s="9" t="str">
        <f>IF(H163="","",ROUNDDOWN(H163*設定!$C$4,0))</f>
        <v/>
      </c>
      <c r="J163" s="10" t="str">
        <f t="shared" si="8"/>
        <v/>
      </c>
      <c r="K163" s="35" t="str">
        <f>IF(D163="","",D163+設定!$C$5)</f>
        <v/>
      </c>
      <c r="L163" s="11" t="str">
        <f t="shared" ca="1" si="9"/>
        <v/>
      </c>
      <c r="M163" s="31"/>
      <c r="N163" s="36"/>
      <c r="O163" s="32"/>
      <c r="P163" s="29"/>
    </row>
    <row r="164" spans="2:16" ht="19.5" customHeight="1">
      <c r="B164" s="8" t="str">
        <f>IF(D164="","",COUNT($D$10:D164))</f>
        <v/>
      </c>
      <c r="C164" s="28"/>
      <c r="D164" s="36"/>
      <c r="E164" s="30"/>
      <c r="F164" s="30"/>
      <c r="G164" s="31"/>
      <c r="H164" s="32"/>
      <c r="I164" s="9" t="str">
        <f>IF(H164="","",ROUNDDOWN(H164*設定!$C$4,0))</f>
        <v/>
      </c>
      <c r="J164" s="10" t="str">
        <f t="shared" si="8"/>
        <v/>
      </c>
      <c r="K164" s="35" t="str">
        <f>IF(D164="","",D164+設定!$C$5)</f>
        <v/>
      </c>
      <c r="L164" s="11" t="str">
        <f t="shared" ca="1" si="9"/>
        <v/>
      </c>
      <c r="M164" s="31"/>
      <c r="N164" s="36"/>
      <c r="O164" s="32"/>
      <c r="P164" s="29"/>
    </row>
    <row r="165" spans="2:16" ht="19.5" customHeight="1">
      <c r="B165" s="8" t="str">
        <f>IF(D165="","",COUNT($D$10:D165))</f>
        <v/>
      </c>
      <c r="C165" s="28"/>
      <c r="D165" s="36"/>
      <c r="E165" s="30"/>
      <c r="F165" s="30"/>
      <c r="G165" s="31"/>
      <c r="H165" s="32"/>
      <c r="I165" s="9" t="str">
        <f>IF(H165="","",ROUNDDOWN(H165*設定!$C$4,0))</f>
        <v/>
      </c>
      <c r="J165" s="10" t="str">
        <f t="shared" si="8"/>
        <v/>
      </c>
      <c r="K165" s="35" t="str">
        <f>IF(D165="","",D165+設定!$C$5)</f>
        <v/>
      </c>
      <c r="L165" s="11" t="str">
        <f t="shared" ca="1" si="9"/>
        <v/>
      </c>
      <c r="M165" s="31"/>
      <c r="N165" s="36"/>
      <c r="O165" s="32"/>
      <c r="P165" s="29"/>
    </row>
    <row r="166" spans="2:16" ht="19.5" customHeight="1">
      <c r="B166" s="8" t="str">
        <f>IF(D166="","",COUNT($D$10:D166))</f>
        <v/>
      </c>
      <c r="C166" s="28"/>
      <c r="D166" s="36"/>
      <c r="E166" s="30"/>
      <c r="F166" s="30"/>
      <c r="G166" s="31"/>
      <c r="H166" s="32"/>
      <c r="I166" s="9" t="str">
        <f>IF(H166="","",ROUNDDOWN(H166*設定!$C$4,0))</f>
        <v/>
      </c>
      <c r="J166" s="10" t="str">
        <f t="shared" si="8"/>
        <v/>
      </c>
      <c r="K166" s="35" t="str">
        <f>IF(D166="","",D166+設定!$C$5)</f>
        <v/>
      </c>
      <c r="L166" s="11" t="str">
        <f t="shared" ca="1" si="9"/>
        <v/>
      </c>
      <c r="M166" s="31"/>
      <c r="N166" s="36"/>
      <c r="O166" s="32"/>
      <c r="P166" s="29"/>
    </row>
    <row r="167" spans="2:16" ht="19.5" customHeight="1">
      <c r="B167" s="8" t="str">
        <f>IF(D167="","",COUNT($D$10:D167))</f>
        <v/>
      </c>
      <c r="C167" s="28"/>
      <c r="D167" s="36"/>
      <c r="E167" s="30"/>
      <c r="F167" s="30"/>
      <c r="G167" s="31"/>
      <c r="H167" s="32"/>
      <c r="I167" s="9" t="str">
        <f>IF(H167="","",ROUNDDOWN(H167*設定!$C$4,0))</f>
        <v/>
      </c>
      <c r="J167" s="10" t="str">
        <f t="shared" si="8"/>
        <v/>
      </c>
      <c r="K167" s="35" t="str">
        <f>IF(D167="","",D167+設定!$C$5)</f>
        <v/>
      </c>
      <c r="L167" s="11" t="str">
        <f t="shared" ca="1" si="9"/>
        <v/>
      </c>
      <c r="M167" s="31"/>
      <c r="N167" s="36"/>
      <c r="O167" s="32"/>
      <c r="P167" s="29"/>
    </row>
    <row r="168" spans="2:16" ht="19.5" customHeight="1">
      <c r="B168" s="8" t="str">
        <f>IF(D168="","",COUNT($D$10:D168))</f>
        <v/>
      </c>
      <c r="C168" s="28"/>
      <c r="D168" s="36"/>
      <c r="E168" s="30"/>
      <c r="F168" s="30"/>
      <c r="G168" s="31"/>
      <c r="H168" s="32"/>
      <c r="I168" s="9" t="str">
        <f>IF(H168="","",ROUNDDOWN(H168*設定!$C$4,0))</f>
        <v/>
      </c>
      <c r="J168" s="10" t="str">
        <f t="shared" si="8"/>
        <v/>
      </c>
      <c r="K168" s="35" t="str">
        <f>IF(D168="","",D168+設定!$C$5)</f>
        <v/>
      </c>
      <c r="L168" s="11" t="str">
        <f t="shared" ca="1" si="9"/>
        <v/>
      </c>
      <c r="M168" s="31"/>
      <c r="N168" s="36"/>
      <c r="O168" s="32"/>
      <c r="P168" s="29"/>
    </row>
    <row r="169" spans="2:16" ht="19.5" customHeight="1">
      <c r="B169" s="8" t="str">
        <f>IF(D169="","",COUNT($D$10:D169))</f>
        <v/>
      </c>
      <c r="C169" s="28"/>
      <c r="D169" s="36"/>
      <c r="E169" s="30"/>
      <c r="F169" s="30"/>
      <c r="G169" s="31"/>
      <c r="H169" s="32"/>
      <c r="I169" s="9" t="str">
        <f>IF(H169="","",ROUNDDOWN(H169*設定!$C$4,0))</f>
        <v/>
      </c>
      <c r="J169" s="10" t="str">
        <f t="shared" si="8"/>
        <v/>
      </c>
      <c r="K169" s="35" t="str">
        <f>IF(D169="","",D169+設定!$C$5)</f>
        <v/>
      </c>
      <c r="L169" s="11" t="str">
        <f t="shared" ca="1" si="9"/>
        <v/>
      </c>
      <c r="M169" s="31"/>
      <c r="N169" s="36"/>
      <c r="O169" s="32"/>
      <c r="P169" s="29"/>
    </row>
    <row r="170" spans="2:16" ht="19.5" customHeight="1">
      <c r="B170" s="8" t="str">
        <f>IF(D170="","",COUNT($D$10:D170))</f>
        <v/>
      </c>
      <c r="C170" s="28"/>
      <c r="D170" s="36"/>
      <c r="E170" s="30"/>
      <c r="F170" s="30"/>
      <c r="G170" s="31"/>
      <c r="H170" s="32"/>
      <c r="I170" s="9" t="str">
        <f>IF(H170="","",ROUNDDOWN(H170*設定!$C$4,0))</f>
        <v/>
      </c>
      <c r="J170" s="10" t="str">
        <f t="shared" ref="J170:J201" si="10">IF(H170="","",H170+I170)</f>
        <v/>
      </c>
      <c r="K170" s="35" t="str">
        <f>IF(D170="","",D170+設定!$C$5)</f>
        <v/>
      </c>
      <c r="L170" s="11" t="str">
        <f t="shared" ref="L170:L201" ca="1" si="11">IF(OR(D170="",M170="受注",M170="失注"),"",K170-TODAY())</f>
        <v/>
      </c>
      <c r="M170" s="31"/>
      <c r="N170" s="36"/>
      <c r="O170" s="32"/>
      <c r="P170" s="29"/>
    </row>
    <row r="171" spans="2:16" ht="19.5" customHeight="1">
      <c r="B171" s="8" t="str">
        <f>IF(D171="","",COUNT($D$10:D171))</f>
        <v/>
      </c>
      <c r="C171" s="28"/>
      <c r="D171" s="36"/>
      <c r="E171" s="30"/>
      <c r="F171" s="30"/>
      <c r="G171" s="31"/>
      <c r="H171" s="32"/>
      <c r="I171" s="9" t="str">
        <f>IF(H171="","",ROUNDDOWN(H171*設定!$C$4,0))</f>
        <v/>
      </c>
      <c r="J171" s="10" t="str">
        <f t="shared" si="10"/>
        <v/>
      </c>
      <c r="K171" s="35" t="str">
        <f>IF(D171="","",D171+設定!$C$5)</f>
        <v/>
      </c>
      <c r="L171" s="11" t="str">
        <f t="shared" ca="1" si="11"/>
        <v/>
      </c>
      <c r="M171" s="31"/>
      <c r="N171" s="36"/>
      <c r="O171" s="32"/>
      <c r="P171" s="29"/>
    </row>
    <row r="172" spans="2:16" ht="19.5" customHeight="1">
      <c r="B172" s="8" t="str">
        <f>IF(D172="","",COUNT($D$10:D172))</f>
        <v/>
      </c>
      <c r="C172" s="28"/>
      <c r="D172" s="36"/>
      <c r="E172" s="30"/>
      <c r="F172" s="30"/>
      <c r="G172" s="31"/>
      <c r="H172" s="32"/>
      <c r="I172" s="9" t="str">
        <f>IF(H172="","",ROUNDDOWN(H172*設定!$C$4,0))</f>
        <v/>
      </c>
      <c r="J172" s="10" t="str">
        <f t="shared" si="10"/>
        <v/>
      </c>
      <c r="K172" s="35" t="str">
        <f>IF(D172="","",D172+設定!$C$5)</f>
        <v/>
      </c>
      <c r="L172" s="11" t="str">
        <f t="shared" ca="1" si="11"/>
        <v/>
      </c>
      <c r="M172" s="31"/>
      <c r="N172" s="36"/>
      <c r="O172" s="32"/>
      <c r="P172" s="29"/>
    </row>
    <row r="173" spans="2:16" ht="19.5" customHeight="1">
      <c r="B173" s="8" t="str">
        <f>IF(D173="","",COUNT($D$10:D173))</f>
        <v/>
      </c>
      <c r="C173" s="28"/>
      <c r="D173" s="36"/>
      <c r="E173" s="30"/>
      <c r="F173" s="30"/>
      <c r="G173" s="31"/>
      <c r="H173" s="32"/>
      <c r="I173" s="9" t="str">
        <f>IF(H173="","",ROUNDDOWN(H173*設定!$C$4,0))</f>
        <v/>
      </c>
      <c r="J173" s="10" t="str">
        <f t="shared" si="10"/>
        <v/>
      </c>
      <c r="K173" s="35" t="str">
        <f>IF(D173="","",D173+設定!$C$5)</f>
        <v/>
      </c>
      <c r="L173" s="11" t="str">
        <f t="shared" ca="1" si="11"/>
        <v/>
      </c>
      <c r="M173" s="31"/>
      <c r="N173" s="36"/>
      <c r="O173" s="32"/>
      <c r="P173" s="29"/>
    </row>
    <row r="174" spans="2:16" ht="19.5" customHeight="1">
      <c r="B174" s="8" t="str">
        <f>IF(D174="","",COUNT($D$10:D174))</f>
        <v/>
      </c>
      <c r="C174" s="28"/>
      <c r="D174" s="36"/>
      <c r="E174" s="30"/>
      <c r="F174" s="30"/>
      <c r="G174" s="31"/>
      <c r="H174" s="32"/>
      <c r="I174" s="9" t="str">
        <f>IF(H174="","",ROUNDDOWN(H174*設定!$C$4,0))</f>
        <v/>
      </c>
      <c r="J174" s="10" t="str">
        <f t="shared" si="10"/>
        <v/>
      </c>
      <c r="K174" s="35" t="str">
        <f>IF(D174="","",D174+設定!$C$5)</f>
        <v/>
      </c>
      <c r="L174" s="11" t="str">
        <f t="shared" ca="1" si="11"/>
        <v/>
      </c>
      <c r="M174" s="31"/>
      <c r="N174" s="36"/>
      <c r="O174" s="32"/>
      <c r="P174" s="29"/>
    </row>
    <row r="175" spans="2:16" ht="19.5" customHeight="1">
      <c r="B175" s="8" t="str">
        <f>IF(D175="","",COUNT($D$10:D175))</f>
        <v/>
      </c>
      <c r="C175" s="28"/>
      <c r="D175" s="36"/>
      <c r="E175" s="30"/>
      <c r="F175" s="30"/>
      <c r="G175" s="31"/>
      <c r="H175" s="32"/>
      <c r="I175" s="9" t="str">
        <f>IF(H175="","",ROUNDDOWN(H175*設定!$C$4,0))</f>
        <v/>
      </c>
      <c r="J175" s="10" t="str">
        <f t="shared" si="10"/>
        <v/>
      </c>
      <c r="K175" s="35" t="str">
        <f>IF(D175="","",D175+設定!$C$5)</f>
        <v/>
      </c>
      <c r="L175" s="11" t="str">
        <f t="shared" ca="1" si="11"/>
        <v/>
      </c>
      <c r="M175" s="31"/>
      <c r="N175" s="36"/>
      <c r="O175" s="32"/>
      <c r="P175" s="29"/>
    </row>
    <row r="176" spans="2:16" ht="19.5" customHeight="1">
      <c r="B176" s="8" t="str">
        <f>IF(D176="","",COUNT($D$10:D176))</f>
        <v/>
      </c>
      <c r="C176" s="28"/>
      <c r="D176" s="36"/>
      <c r="E176" s="30"/>
      <c r="F176" s="30"/>
      <c r="G176" s="31"/>
      <c r="H176" s="32"/>
      <c r="I176" s="9" t="str">
        <f>IF(H176="","",ROUNDDOWN(H176*設定!$C$4,0))</f>
        <v/>
      </c>
      <c r="J176" s="10" t="str">
        <f t="shared" si="10"/>
        <v/>
      </c>
      <c r="K176" s="35" t="str">
        <f>IF(D176="","",D176+設定!$C$5)</f>
        <v/>
      </c>
      <c r="L176" s="11" t="str">
        <f t="shared" ca="1" si="11"/>
        <v/>
      </c>
      <c r="M176" s="31"/>
      <c r="N176" s="36"/>
      <c r="O176" s="32"/>
      <c r="P176" s="29"/>
    </row>
    <row r="177" spans="2:16" ht="19.5" customHeight="1">
      <c r="B177" s="8" t="str">
        <f>IF(D177="","",COUNT($D$10:D177))</f>
        <v/>
      </c>
      <c r="C177" s="28"/>
      <c r="D177" s="36"/>
      <c r="E177" s="30"/>
      <c r="F177" s="30"/>
      <c r="G177" s="31"/>
      <c r="H177" s="32"/>
      <c r="I177" s="9" t="str">
        <f>IF(H177="","",ROUNDDOWN(H177*設定!$C$4,0))</f>
        <v/>
      </c>
      <c r="J177" s="10" t="str">
        <f t="shared" si="10"/>
        <v/>
      </c>
      <c r="K177" s="35" t="str">
        <f>IF(D177="","",D177+設定!$C$5)</f>
        <v/>
      </c>
      <c r="L177" s="11" t="str">
        <f t="shared" ca="1" si="11"/>
        <v/>
      </c>
      <c r="M177" s="31"/>
      <c r="N177" s="36"/>
      <c r="O177" s="32"/>
      <c r="P177" s="29"/>
    </row>
    <row r="178" spans="2:16" ht="19.5" customHeight="1">
      <c r="B178" s="8" t="str">
        <f>IF(D178="","",COUNT($D$10:D178))</f>
        <v/>
      </c>
      <c r="C178" s="28"/>
      <c r="D178" s="36"/>
      <c r="E178" s="30"/>
      <c r="F178" s="30"/>
      <c r="G178" s="31"/>
      <c r="H178" s="32"/>
      <c r="I178" s="9" t="str">
        <f>IF(H178="","",ROUNDDOWN(H178*設定!$C$4,0))</f>
        <v/>
      </c>
      <c r="J178" s="10" t="str">
        <f t="shared" si="10"/>
        <v/>
      </c>
      <c r="K178" s="35" t="str">
        <f>IF(D178="","",D178+設定!$C$5)</f>
        <v/>
      </c>
      <c r="L178" s="11" t="str">
        <f t="shared" ca="1" si="11"/>
        <v/>
      </c>
      <c r="M178" s="31"/>
      <c r="N178" s="36"/>
      <c r="O178" s="32"/>
      <c r="P178" s="29"/>
    </row>
    <row r="179" spans="2:16" ht="19.5" customHeight="1">
      <c r="B179" s="8" t="str">
        <f>IF(D179="","",COUNT($D$10:D179))</f>
        <v/>
      </c>
      <c r="C179" s="28"/>
      <c r="D179" s="36"/>
      <c r="E179" s="30"/>
      <c r="F179" s="30"/>
      <c r="G179" s="31"/>
      <c r="H179" s="32"/>
      <c r="I179" s="9" t="str">
        <f>IF(H179="","",ROUNDDOWN(H179*設定!$C$4,0))</f>
        <v/>
      </c>
      <c r="J179" s="10" t="str">
        <f t="shared" si="10"/>
        <v/>
      </c>
      <c r="K179" s="35" t="str">
        <f>IF(D179="","",D179+設定!$C$5)</f>
        <v/>
      </c>
      <c r="L179" s="11" t="str">
        <f t="shared" ca="1" si="11"/>
        <v/>
      </c>
      <c r="M179" s="31"/>
      <c r="N179" s="36"/>
      <c r="O179" s="32"/>
      <c r="P179" s="29"/>
    </row>
    <row r="180" spans="2:16" ht="19.5" customHeight="1">
      <c r="B180" s="8" t="str">
        <f>IF(D180="","",COUNT($D$10:D180))</f>
        <v/>
      </c>
      <c r="C180" s="28"/>
      <c r="D180" s="36"/>
      <c r="E180" s="30"/>
      <c r="F180" s="30"/>
      <c r="G180" s="31"/>
      <c r="H180" s="32"/>
      <c r="I180" s="9" t="str">
        <f>IF(H180="","",ROUNDDOWN(H180*設定!$C$4,0))</f>
        <v/>
      </c>
      <c r="J180" s="10" t="str">
        <f t="shared" si="10"/>
        <v/>
      </c>
      <c r="K180" s="35" t="str">
        <f>IF(D180="","",D180+設定!$C$5)</f>
        <v/>
      </c>
      <c r="L180" s="11" t="str">
        <f t="shared" ca="1" si="11"/>
        <v/>
      </c>
      <c r="M180" s="31"/>
      <c r="N180" s="36"/>
      <c r="O180" s="32"/>
      <c r="P180" s="29"/>
    </row>
    <row r="181" spans="2:16" ht="19.5" customHeight="1">
      <c r="B181" s="8" t="str">
        <f>IF(D181="","",COUNT($D$10:D181))</f>
        <v/>
      </c>
      <c r="C181" s="28"/>
      <c r="D181" s="36"/>
      <c r="E181" s="30"/>
      <c r="F181" s="30"/>
      <c r="G181" s="31"/>
      <c r="H181" s="32"/>
      <c r="I181" s="9" t="str">
        <f>IF(H181="","",ROUNDDOWN(H181*設定!$C$4,0))</f>
        <v/>
      </c>
      <c r="J181" s="10" t="str">
        <f t="shared" si="10"/>
        <v/>
      </c>
      <c r="K181" s="35" t="str">
        <f>IF(D181="","",D181+設定!$C$5)</f>
        <v/>
      </c>
      <c r="L181" s="11" t="str">
        <f t="shared" ca="1" si="11"/>
        <v/>
      </c>
      <c r="M181" s="31"/>
      <c r="N181" s="36"/>
      <c r="O181" s="32"/>
      <c r="P181" s="29"/>
    </row>
    <row r="182" spans="2:16" ht="19.5" customHeight="1">
      <c r="B182" s="8" t="str">
        <f>IF(D182="","",COUNT($D$10:D182))</f>
        <v/>
      </c>
      <c r="C182" s="28"/>
      <c r="D182" s="36"/>
      <c r="E182" s="30"/>
      <c r="F182" s="30"/>
      <c r="G182" s="31"/>
      <c r="H182" s="32"/>
      <c r="I182" s="9" t="str">
        <f>IF(H182="","",ROUNDDOWN(H182*設定!$C$4,0))</f>
        <v/>
      </c>
      <c r="J182" s="10" t="str">
        <f t="shared" si="10"/>
        <v/>
      </c>
      <c r="K182" s="35" t="str">
        <f>IF(D182="","",D182+設定!$C$5)</f>
        <v/>
      </c>
      <c r="L182" s="11" t="str">
        <f t="shared" ca="1" si="11"/>
        <v/>
      </c>
      <c r="M182" s="31"/>
      <c r="N182" s="36"/>
      <c r="O182" s="32"/>
      <c r="P182" s="29"/>
    </row>
    <row r="183" spans="2:16" ht="19.5" customHeight="1">
      <c r="B183" s="8" t="str">
        <f>IF(D183="","",COUNT($D$10:D183))</f>
        <v/>
      </c>
      <c r="C183" s="28"/>
      <c r="D183" s="36"/>
      <c r="E183" s="30"/>
      <c r="F183" s="30"/>
      <c r="G183" s="31"/>
      <c r="H183" s="32"/>
      <c r="I183" s="9" t="str">
        <f>IF(H183="","",ROUNDDOWN(H183*設定!$C$4,0))</f>
        <v/>
      </c>
      <c r="J183" s="10" t="str">
        <f t="shared" si="10"/>
        <v/>
      </c>
      <c r="K183" s="35" t="str">
        <f>IF(D183="","",D183+設定!$C$5)</f>
        <v/>
      </c>
      <c r="L183" s="11" t="str">
        <f t="shared" ca="1" si="11"/>
        <v/>
      </c>
      <c r="M183" s="31"/>
      <c r="N183" s="36"/>
      <c r="O183" s="32"/>
      <c r="P183" s="29"/>
    </row>
    <row r="184" spans="2:16" ht="19.5" customHeight="1">
      <c r="B184" s="8" t="str">
        <f>IF(D184="","",COUNT($D$10:D184))</f>
        <v/>
      </c>
      <c r="C184" s="28"/>
      <c r="D184" s="36"/>
      <c r="E184" s="30"/>
      <c r="F184" s="30"/>
      <c r="G184" s="31"/>
      <c r="H184" s="32"/>
      <c r="I184" s="9" t="str">
        <f>IF(H184="","",ROUNDDOWN(H184*設定!$C$4,0))</f>
        <v/>
      </c>
      <c r="J184" s="10" t="str">
        <f t="shared" si="10"/>
        <v/>
      </c>
      <c r="K184" s="35" t="str">
        <f>IF(D184="","",D184+設定!$C$5)</f>
        <v/>
      </c>
      <c r="L184" s="11" t="str">
        <f t="shared" ca="1" si="11"/>
        <v/>
      </c>
      <c r="M184" s="31"/>
      <c r="N184" s="36"/>
      <c r="O184" s="32"/>
      <c r="P184" s="29"/>
    </row>
    <row r="185" spans="2:16" ht="19.5" customHeight="1">
      <c r="B185" s="8" t="str">
        <f>IF(D185="","",COUNT($D$10:D185))</f>
        <v/>
      </c>
      <c r="C185" s="28"/>
      <c r="D185" s="36"/>
      <c r="E185" s="30"/>
      <c r="F185" s="30"/>
      <c r="G185" s="31"/>
      <c r="H185" s="32"/>
      <c r="I185" s="9" t="str">
        <f>IF(H185="","",ROUNDDOWN(H185*設定!$C$4,0))</f>
        <v/>
      </c>
      <c r="J185" s="10" t="str">
        <f t="shared" si="10"/>
        <v/>
      </c>
      <c r="K185" s="35" t="str">
        <f>IF(D185="","",D185+設定!$C$5)</f>
        <v/>
      </c>
      <c r="L185" s="11" t="str">
        <f t="shared" ca="1" si="11"/>
        <v/>
      </c>
      <c r="M185" s="31"/>
      <c r="N185" s="36"/>
      <c r="O185" s="32"/>
      <c r="P185" s="29"/>
    </row>
    <row r="186" spans="2:16" ht="19.5" customHeight="1">
      <c r="B186" s="8" t="str">
        <f>IF(D186="","",COUNT($D$10:D186))</f>
        <v/>
      </c>
      <c r="C186" s="28"/>
      <c r="D186" s="36"/>
      <c r="E186" s="30"/>
      <c r="F186" s="30"/>
      <c r="G186" s="31"/>
      <c r="H186" s="32"/>
      <c r="I186" s="9" t="str">
        <f>IF(H186="","",ROUNDDOWN(H186*設定!$C$4,0))</f>
        <v/>
      </c>
      <c r="J186" s="10" t="str">
        <f t="shared" si="10"/>
        <v/>
      </c>
      <c r="K186" s="35" t="str">
        <f>IF(D186="","",D186+設定!$C$5)</f>
        <v/>
      </c>
      <c r="L186" s="11" t="str">
        <f t="shared" ca="1" si="11"/>
        <v/>
      </c>
      <c r="M186" s="31"/>
      <c r="N186" s="36"/>
      <c r="O186" s="32"/>
      <c r="P186" s="29"/>
    </row>
    <row r="187" spans="2:16" ht="19.5" customHeight="1">
      <c r="B187" s="8" t="str">
        <f>IF(D187="","",COUNT($D$10:D187))</f>
        <v/>
      </c>
      <c r="C187" s="28"/>
      <c r="D187" s="36"/>
      <c r="E187" s="30"/>
      <c r="F187" s="30"/>
      <c r="G187" s="31"/>
      <c r="H187" s="32"/>
      <c r="I187" s="9" t="str">
        <f>IF(H187="","",ROUNDDOWN(H187*設定!$C$4,0))</f>
        <v/>
      </c>
      <c r="J187" s="10" t="str">
        <f t="shared" si="10"/>
        <v/>
      </c>
      <c r="K187" s="35" t="str">
        <f>IF(D187="","",D187+設定!$C$5)</f>
        <v/>
      </c>
      <c r="L187" s="11" t="str">
        <f t="shared" ca="1" si="11"/>
        <v/>
      </c>
      <c r="M187" s="31"/>
      <c r="N187" s="36"/>
      <c r="O187" s="32"/>
      <c r="P187" s="29"/>
    </row>
    <row r="188" spans="2:16" ht="19.5" customHeight="1">
      <c r="B188" s="8" t="str">
        <f>IF(D188="","",COUNT($D$10:D188))</f>
        <v/>
      </c>
      <c r="C188" s="28"/>
      <c r="D188" s="36"/>
      <c r="E188" s="30"/>
      <c r="F188" s="30"/>
      <c r="G188" s="31"/>
      <c r="H188" s="32"/>
      <c r="I188" s="9" t="str">
        <f>IF(H188="","",ROUNDDOWN(H188*設定!$C$4,0))</f>
        <v/>
      </c>
      <c r="J188" s="10" t="str">
        <f t="shared" si="10"/>
        <v/>
      </c>
      <c r="K188" s="35" t="str">
        <f>IF(D188="","",D188+設定!$C$5)</f>
        <v/>
      </c>
      <c r="L188" s="11" t="str">
        <f t="shared" ca="1" si="11"/>
        <v/>
      </c>
      <c r="M188" s="31"/>
      <c r="N188" s="36"/>
      <c r="O188" s="32"/>
      <c r="P188" s="29"/>
    </row>
    <row r="189" spans="2:16" ht="19.5" customHeight="1">
      <c r="B189" s="8" t="str">
        <f>IF(D189="","",COUNT($D$10:D189))</f>
        <v/>
      </c>
      <c r="C189" s="28"/>
      <c r="D189" s="36"/>
      <c r="E189" s="30"/>
      <c r="F189" s="30"/>
      <c r="G189" s="31"/>
      <c r="H189" s="32"/>
      <c r="I189" s="9" t="str">
        <f>IF(H189="","",ROUNDDOWN(H189*設定!$C$4,0))</f>
        <v/>
      </c>
      <c r="J189" s="10" t="str">
        <f t="shared" si="10"/>
        <v/>
      </c>
      <c r="K189" s="35" t="str">
        <f>IF(D189="","",D189+設定!$C$5)</f>
        <v/>
      </c>
      <c r="L189" s="11" t="str">
        <f t="shared" ca="1" si="11"/>
        <v/>
      </c>
      <c r="M189" s="31"/>
      <c r="N189" s="36"/>
      <c r="O189" s="32"/>
      <c r="P189" s="29"/>
    </row>
    <row r="190" spans="2:16" ht="19.5" customHeight="1">
      <c r="B190" s="8" t="str">
        <f>IF(D190="","",COUNT($D$10:D190))</f>
        <v/>
      </c>
      <c r="C190" s="28"/>
      <c r="D190" s="36"/>
      <c r="E190" s="30"/>
      <c r="F190" s="30"/>
      <c r="G190" s="31"/>
      <c r="H190" s="32"/>
      <c r="I190" s="9" t="str">
        <f>IF(H190="","",ROUNDDOWN(H190*設定!$C$4,0))</f>
        <v/>
      </c>
      <c r="J190" s="10" t="str">
        <f t="shared" si="10"/>
        <v/>
      </c>
      <c r="K190" s="35" t="str">
        <f>IF(D190="","",D190+設定!$C$5)</f>
        <v/>
      </c>
      <c r="L190" s="11" t="str">
        <f t="shared" ca="1" si="11"/>
        <v/>
      </c>
      <c r="M190" s="31"/>
      <c r="N190" s="36"/>
      <c r="O190" s="32"/>
      <c r="P190" s="29"/>
    </row>
    <row r="191" spans="2:16" ht="19.5" customHeight="1">
      <c r="B191" s="8" t="str">
        <f>IF(D191="","",COUNT($D$10:D191))</f>
        <v/>
      </c>
      <c r="C191" s="28"/>
      <c r="D191" s="36"/>
      <c r="E191" s="30"/>
      <c r="F191" s="30"/>
      <c r="G191" s="31"/>
      <c r="H191" s="32"/>
      <c r="I191" s="9" t="str">
        <f>IF(H191="","",ROUNDDOWN(H191*設定!$C$4,0))</f>
        <v/>
      </c>
      <c r="J191" s="10" t="str">
        <f t="shared" si="10"/>
        <v/>
      </c>
      <c r="K191" s="35" t="str">
        <f>IF(D191="","",D191+設定!$C$5)</f>
        <v/>
      </c>
      <c r="L191" s="11" t="str">
        <f t="shared" ca="1" si="11"/>
        <v/>
      </c>
      <c r="M191" s="31"/>
      <c r="N191" s="36"/>
      <c r="O191" s="32"/>
      <c r="P191" s="29"/>
    </row>
    <row r="192" spans="2:16" ht="19.5" customHeight="1">
      <c r="B192" s="8" t="str">
        <f>IF(D192="","",COUNT($D$10:D192))</f>
        <v/>
      </c>
      <c r="C192" s="28"/>
      <c r="D192" s="36"/>
      <c r="E192" s="30"/>
      <c r="F192" s="30"/>
      <c r="G192" s="31"/>
      <c r="H192" s="32"/>
      <c r="I192" s="9" t="str">
        <f>IF(H192="","",ROUNDDOWN(H192*設定!$C$4,0))</f>
        <v/>
      </c>
      <c r="J192" s="10" t="str">
        <f t="shared" si="10"/>
        <v/>
      </c>
      <c r="K192" s="35" t="str">
        <f>IF(D192="","",D192+設定!$C$5)</f>
        <v/>
      </c>
      <c r="L192" s="11" t="str">
        <f t="shared" ca="1" si="11"/>
        <v/>
      </c>
      <c r="M192" s="31"/>
      <c r="N192" s="36"/>
      <c r="O192" s="32"/>
      <c r="P192" s="29"/>
    </row>
    <row r="193" spans="2:16" ht="19.5" customHeight="1">
      <c r="B193" s="8" t="str">
        <f>IF(D193="","",COUNT($D$10:D193))</f>
        <v/>
      </c>
      <c r="C193" s="28"/>
      <c r="D193" s="36"/>
      <c r="E193" s="30"/>
      <c r="F193" s="30"/>
      <c r="G193" s="31"/>
      <c r="H193" s="32"/>
      <c r="I193" s="9" t="str">
        <f>IF(H193="","",ROUNDDOWN(H193*設定!$C$4,0))</f>
        <v/>
      </c>
      <c r="J193" s="10" t="str">
        <f t="shared" si="10"/>
        <v/>
      </c>
      <c r="K193" s="35" t="str">
        <f>IF(D193="","",D193+設定!$C$5)</f>
        <v/>
      </c>
      <c r="L193" s="11" t="str">
        <f t="shared" ca="1" si="11"/>
        <v/>
      </c>
      <c r="M193" s="31"/>
      <c r="N193" s="36"/>
      <c r="O193" s="32"/>
      <c r="P193" s="29"/>
    </row>
    <row r="194" spans="2:16" ht="19.5" customHeight="1">
      <c r="B194" s="8" t="str">
        <f>IF(D194="","",COUNT($D$10:D194))</f>
        <v/>
      </c>
      <c r="C194" s="28"/>
      <c r="D194" s="36"/>
      <c r="E194" s="30"/>
      <c r="F194" s="30"/>
      <c r="G194" s="31"/>
      <c r="H194" s="32"/>
      <c r="I194" s="9" t="str">
        <f>IF(H194="","",ROUNDDOWN(H194*設定!$C$4,0))</f>
        <v/>
      </c>
      <c r="J194" s="10" t="str">
        <f t="shared" si="10"/>
        <v/>
      </c>
      <c r="K194" s="35" t="str">
        <f>IF(D194="","",D194+設定!$C$5)</f>
        <v/>
      </c>
      <c r="L194" s="11" t="str">
        <f t="shared" ca="1" si="11"/>
        <v/>
      </c>
      <c r="M194" s="31"/>
      <c r="N194" s="36"/>
      <c r="O194" s="32"/>
      <c r="P194" s="29"/>
    </row>
    <row r="195" spans="2:16" ht="19.5" customHeight="1">
      <c r="B195" s="8" t="str">
        <f>IF(D195="","",COUNT($D$10:D195))</f>
        <v/>
      </c>
      <c r="C195" s="28"/>
      <c r="D195" s="36"/>
      <c r="E195" s="30"/>
      <c r="F195" s="30"/>
      <c r="G195" s="31"/>
      <c r="H195" s="32"/>
      <c r="I195" s="9" t="str">
        <f>IF(H195="","",ROUNDDOWN(H195*設定!$C$4,0))</f>
        <v/>
      </c>
      <c r="J195" s="10" t="str">
        <f t="shared" si="10"/>
        <v/>
      </c>
      <c r="K195" s="35" t="str">
        <f>IF(D195="","",D195+設定!$C$5)</f>
        <v/>
      </c>
      <c r="L195" s="11" t="str">
        <f t="shared" ca="1" si="11"/>
        <v/>
      </c>
      <c r="M195" s="31"/>
      <c r="N195" s="36"/>
      <c r="O195" s="32"/>
      <c r="P195" s="29"/>
    </row>
    <row r="196" spans="2:16" ht="19.5" customHeight="1">
      <c r="B196" s="8" t="str">
        <f>IF(D196="","",COUNT($D$10:D196))</f>
        <v/>
      </c>
      <c r="C196" s="28"/>
      <c r="D196" s="36"/>
      <c r="E196" s="30"/>
      <c r="F196" s="30"/>
      <c r="G196" s="31"/>
      <c r="H196" s="32"/>
      <c r="I196" s="9" t="str">
        <f>IF(H196="","",ROUNDDOWN(H196*設定!$C$4,0))</f>
        <v/>
      </c>
      <c r="J196" s="10" t="str">
        <f t="shared" si="10"/>
        <v/>
      </c>
      <c r="K196" s="35" t="str">
        <f>IF(D196="","",D196+設定!$C$5)</f>
        <v/>
      </c>
      <c r="L196" s="11" t="str">
        <f t="shared" ca="1" si="11"/>
        <v/>
      </c>
      <c r="M196" s="31"/>
      <c r="N196" s="36"/>
      <c r="O196" s="32"/>
      <c r="P196" s="29"/>
    </row>
    <row r="197" spans="2:16" ht="19.5" customHeight="1">
      <c r="B197" s="8" t="str">
        <f>IF(D197="","",COUNT($D$10:D197))</f>
        <v/>
      </c>
      <c r="C197" s="28"/>
      <c r="D197" s="36"/>
      <c r="E197" s="30"/>
      <c r="F197" s="30"/>
      <c r="G197" s="31"/>
      <c r="H197" s="32"/>
      <c r="I197" s="9" t="str">
        <f>IF(H197="","",ROUNDDOWN(H197*設定!$C$4,0))</f>
        <v/>
      </c>
      <c r="J197" s="10" t="str">
        <f t="shared" si="10"/>
        <v/>
      </c>
      <c r="K197" s="35" t="str">
        <f>IF(D197="","",D197+設定!$C$5)</f>
        <v/>
      </c>
      <c r="L197" s="11" t="str">
        <f t="shared" ca="1" si="11"/>
        <v/>
      </c>
      <c r="M197" s="31"/>
      <c r="N197" s="36"/>
      <c r="O197" s="32"/>
      <c r="P197" s="29"/>
    </row>
    <row r="198" spans="2:16" ht="19.5" customHeight="1">
      <c r="B198" s="8" t="str">
        <f>IF(D198="","",COUNT($D$10:D198))</f>
        <v/>
      </c>
      <c r="C198" s="28"/>
      <c r="D198" s="36"/>
      <c r="E198" s="30"/>
      <c r="F198" s="30"/>
      <c r="G198" s="31"/>
      <c r="H198" s="32"/>
      <c r="I198" s="9" t="str">
        <f>IF(H198="","",ROUNDDOWN(H198*設定!$C$4,0))</f>
        <v/>
      </c>
      <c r="J198" s="10" t="str">
        <f t="shared" si="10"/>
        <v/>
      </c>
      <c r="K198" s="35" t="str">
        <f>IF(D198="","",D198+設定!$C$5)</f>
        <v/>
      </c>
      <c r="L198" s="11" t="str">
        <f t="shared" ca="1" si="11"/>
        <v/>
      </c>
      <c r="M198" s="31"/>
      <c r="N198" s="36"/>
      <c r="O198" s="32"/>
      <c r="P198" s="29"/>
    </row>
    <row r="199" spans="2:16" ht="19.5" customHeight="1">
      <c r="B199" s="8" t="str">
        <f>IF(D199="","",COUNT($D$10:D199))</f>
        <v/>
      </c>
      <c r="C199" s="28"/>
      <c r="D199" s="36"/>
      <c r="E199" s="30"/>
      <c r="F199" s="30"/>
      <c r="G199" s="31"/>
      <c r="H199" s="32"/>
      <c r="I199" s="9" t="str">
        <f>IF(H199="","",ROUNDDOWN(H199*設定!$C$4,0))</f>
        <v/>
      </c>
      <c r="J199" s="10" t="str">
        <f t="shared" si="10"/>
        <v/>
      </c>
      <c r="K199" s="35" t="str">
        <f>IF(D199="","",D199+設定!$C$5)</f>
        <v/>
      </c>
      <c r="L199" s="11" t="str">
        <f t="shared" ca="1" si="11"/>
        <v/>
      </c>
      <c r="M199" s="31"/>
      <c r="N199" s="36"/>
      <c r="O199" s="32"/>
      <c r="P199" s="29"/>
    </row>
    <row r="200" spans="2:16" ht="19.5" customHeight="1">
      <c r="B200" s="8" t="str">
        <f>IF(D200="","",COUNT($D$10:D200))</f>
        <v/>
      </c>
      <c r="C200" s="28"/>
      <c r="D200" s="36"/>
      <c r="E200" s="30"/>
      <c r="F200" s="30"/>
      <c r="G200" s="31"/>
      <c r="H200" s="32"/>
      <c r="I200" s="9" t="str">
        <f>IF(H200="","",ROUNDDOWN(H200*設定!$C$4,0))</f>
        <v/>
      </c>
      <c r="J200" s="10" t="str">
        <f t="shared" si="10"/>
        <v/>
      </c>
      <c r="K200" s="35" t="str">
        <f>IF(D200="","",D200+設定!$C$5)</f>
        <v/>
      </c>
      <c r="L200" s="11" t="str">
        <f t="shared" ca="1" si="11"/>
        <v/>
      </c>
      <c r="M200" s="31"/>
      <c r="N200" s="36"/>
      <c r="O200" s="32"/>
      <c r="P200" s="29"/>
    </row>
    <row r="201" spans="2:16" ht="19.5" customHeight="1">
      <c r="B201" s="8" t="str">
        <f>IF(D201="","",COUNT($D$10:D201))</f>
        <v/>
      </c>
      <c r="C201" s="28"/>
      <c r="D201" s="36"/>
      <c r="E201" s="30"/>
      <c r="F201" s="30"/>
      <c r="G201" s="31"/>
      <c r="H201" s="32"/>
      <c r="I201" s="9" t="str">
        <f>IF(H201="","",ROUNDDOWN(H201*設定!$C$4,0))</f>
        <v/>
      </c>
      <c r="J201" s="10" t="str">
        <f t="shared" si="10"/>
        <v/>
      </c>
      <c r="K201" s="35" t="str">
        <f>IF(D201="","",D201+設定!$C$5)</f>
        <v/>
      </c>
      <c r="L201" s="11" t="str">
        <f t="shared" ca="1" si="11"/>
        <v/>
      </c>
      <c r="M201" s="31"/>
      <c r="N201" s="36"/>
      <c r="O201" s="32"/>
      <c r="P201" s="29"/>
    </row>
    <row r="202" spans="2:16" ht="19.5" customHeight="1">
      <c r="B202" s="8" t="str">
        <f>IF(D202="","",COUNT($D$10:D202))</f>
        <v/>
      </c>
      <c r="C202" s="28"/>
      <c r="D202" s="36"/>
      <c r="E202" s="30"/>
      <c r="F202" s="30"/>
      <c r="G202" s="31"/>
      <c r="H202" s="32"/>
      <c r="I202" s="9" t="str">
        <f>IF(H202="","",ROUNDDOWN(H202*設定!$C$4,0))</f>
        <v/>
      </c>
      <c r="J202" s="10" t="str">
        <f t="shared" ref="J202:J209" si="12">IF(H202="","",H202+I202)</f>
        <v/>
      </c>
      <c r="K202" s="35" t="str">
        <f>IF(D202="","",D202+設定!$C$5)</f>
        <v/>
      </c>
      <c r="L202" s="11" t="str">
        <f t="shared" ref="L202:L209" ca="1" si="13">IF(OR(D202="",M202="受注",M202="失注"),"",K202-TODAY())</f>
        <v/>
      </c>
      <c r="M202" s="31"/>
      <c r="N202" s="36"/>
      <c r="O202" s="32"/>
      <c r="P202" s="29"/>
    </row>
    <row r="203" spans="2:16" ht="19.5" customHeight="1">
      <c r="B203" s="8" t="str">
        <f>IF(D203="","",COUNT($D$10:D203))</f>
        <v/>
      </c>
      <c r="C203" s="28"/>
      <c r="D203" s="36"/>
      <c r="E203" s="30"/>
      <c r="F203" s="30"/>
      <c r="G203" s="31"/>
      <c r="H203" s="32"/>
      <c r="I203" s="9" t="str">
        <f>IF(H203="","",ROUNDDOWN(H203*設定!$C$4,0))</f>
        <v/>
      </c>
      <c r="J203" s="10" t="str">
        <f t="shared" si="12"/>
        <v/>
      </c>
      <c r="K203" s="35" t="str">
        <f>IF(D203="","",D203+設定!$C$5)</f>
        <v/>
      </c>
      <c r="L203" s="11" t="str">
        <f t="shared" ca="1" si="13"/>
        <v/>
      </c>
      <c r="M203" s="31"/>
      <c r="N203" s="36"/>
      <c r="O203" s="32"/>
      <c r="P203" s="29"/>
    </row>
    <row r="204" spans="2:16" ht="19.5" customHeight="1">
      <c r="B204" s="8" t="str">
        <f>IF(D204="","",COUNT($D$10:D204))</f>
        <v/>
      </c>
      <c r="C204" s="28"/>
      <c r="D204" s="36"/>
      <c r="E204" s="30"/>
      <c r="F204" s="30"/>
      <c r="G204" s="31"/>
      <c r="H204" s="32"/>
      <c r="I204" s="9" t="str">
        <f>IF(H204="","",ROUNDDOWN(H204*設定!$C$4,0))</f>
        <v/>
      </c>
      <c r="J204" s="10" t="str">
        <f t="shared" si="12"/>
        <v/>
      </c>
      <c r="K204" s="35" t="str">
        <f>IF(D204="","",D204+設定!$C$5)</f>
        <v/>
      </c>
      <c r="L204" s="11" t="str">
        <f t="shared" ca="1" si="13"/>
        <v/>
      </c>
      <c r="M204" s="31"/>
      <c r="N204" s="36"/>
      <c r="O204" s="32"/>
      <c r="P204" s="29"/>
    </row>
    <row r="205" spans="2:16" ht="19.5" customHeight="1">
      <c r="B205" s="8" t="str">
        <f>IF(D205="","",COUNT($D$10:D205))</f>
        <v/>
      </c>
      <c r="C205" s="28"/>
      <c r="D205" s="36"/>
      <c r="E205" s="30"/>
      <c r="F205" s="30"/>
      <c r="G205" s="31"/>
      <c r="H205" s="32"/>
      <c r="I205" s="9" t="str">
        <f>IF(H205="","",ROUNDDOWN(H205*設定!$C$4,0))</f>
        <v/>
      </c>
      <c r="J205" s="10" t="str">
        <f t="shared" si="12"/>
        <v/>
      </c>
      <c r="K205" s="35" t="str">
        <f>IF(D205="","",D205+設定!$C$5)</f>
        <v/>
      </c>
      <c r="L205" s="11" t="str">
        <f t="shared" ca="1" si="13"/>
        <v/>
      </c>
      <c r="M205" s="31"/>
      <c r="N205" s="36"/>
      <c r="O205" s="32"/>
      <c r="P205" s="29"/>
    </row>
    <row r="206" spans="2:16" ht="19.5" customHeight="1">
      <c r="B206" s="8" t="str">
        <f>IF(D206="","",COUNT($D$10:D206))</f>
        <v/>
      </c>
      <c r="C206" s="28"/>
      <c r="D206" s="36"/>
      <c r="E206" s="30"/>
      <c r="F206" s="30"/>
      <c r="G206" s="31"/>
      <c r="H206" s="32"/>
      <c r="I206" s="9" t="str">
        <f>IF(H206="","",ROUNDDOWN(H206*設定!$C$4,0))</f>
        <v/>
      </c>
      <c r="J206" s="10" t="str">
        <f t="shared" si="12"/>
        <v/>
      </c>
      <c r="K206" s="35" t="str">
        <f>IF(D206="","",D206+設定!$C$5)</f>
        <v/>
      </c>
      <c r="L206" s="11" t="str">
        <f t="shared" ca="1" si="13"/>
        <v/>
      </c>
      <c r="M206" s="31"/>
      <c r="N206" s="36"/>
      <c r="O206" s="32"/>
      <c r="P206" s="29"/>
    </row>
    <row r="207" spans="2:16" ht="19.5" customHeight="1">
      <c r="B207" s="8" t="str">
        <f>IF(D207="","",COUNT($D$10:D207))</f>
        <v/>
      </c>
      <c r="C207" s="28"/>
      <c r="D207" s="36"/>
      <c r="E207" s="30"/>
      <c r="F207" s="30"/>
      <c r="G207" s="31"/>
      <c r="H207" s="32"/>
      <c r="I207" s="9" t="str">
        <f>IF(H207="","",ROUNDDOWN(H207*設定!$C$4,0))</f>
        <v/>
      </c>
      <c r="J207" s="10" t="str">
        <f t="shared" si="12"/>
        <v/>
      </c>
      <c r="K207" s="35" t="str">
        <f>IF(D207="","",D207+設定!$C$5)</f>
        <v/>
      </c>
      <c r="L207" s="11" t="str">
        <f t="shared" ca="1" si="13"/>
        <v/>
      </c>
      <c r="M207" s="31"/>
      <c r="N207" s="36"/>
      <c r="O207" s="32"/>
      <c r="P207" s="29"/>
    </row>
    <row r="208" spans="2:16" ht="19.5" customHeight="1">
      <c r="B208" s="8" t="str">
        <f>IF(D208="","",COUNT($D$10:D208))</f>
        <v/>
      </c>
      <c r="C208" s="28"/>
      <c r="D208" s="36"/>
      <c r="E208" s="30"/>
      <c r="F208" s="30"/>
      <c r="G208" s="31"/>
      <c r="H208" s="32"/>
      <c r="I208" s="9" t="str">
        <f>IF(H208="","",ROUNDDOWN(H208*設定!$C$4,0))</f>
        <v/>
      </c>
      <c r="J208" s="10" t="str">
        <f t="shared" si="12"/>
        <v/>
      </c>
      <c r="K208" s="35" t="str">
        <f>IF(D208="","",D208+設定!$C$5)</f>
        <v/>
      </c>
      <c r="L208" s="11" t="str">
        <f t="shared" ca="1" si="13"/>
        <v/>
      </c>
      <c r="M208" s="31"/>
      <c r="N208" s="36"/>
      <c r="O208" s="32"/>
      <c r="P208" s="29"/>
    </row>
    <row r="209" spans="2:16" ht="19.5" customHeight="1">
      <c r="B209" s="8" t="str">
        <f>IF(D209="","",COUNT($D$10:D209))</f>
        <v/>
      </c>
      <c r="C209" s="28"/>
      <c r="D209" s="36"/>
      <c r="E209" s="30"/>
      <c r="F209" s="30"/>
      <c r="G209" s="31"/>
      <c r="H209" s="32"/>
      <c r="I209" s="9" t="str">
        <f>IF(H209="","",ROUNDDOWN(H209*設定!$C$4,0))</f>
        <v/>
      </c>
      <c r="J209" s="10" t="str">
        <f t="shared" si="12"/>
        <v/>
      </c>
      <c r="K209" s="35" t="str">
        <f>IF(D209="","",D209+設定!$C$5)</f>
        <v/>
      </c>
      <c r="L209" s="11" t="str">
        <f t="shared" ca="1" si="13"/>
        <v/>
      </c>
      <c r="M209" s="31"/>
      <c r="N209" s="36"/>
      <c r="O209" s="32"/>
      <c r="P209" s="29"/>
    </row>
  </sheetData>
  <autoFilter ref="B9:P209" xr:uid="{00000000-0009-0000-0000-000000000000}"/>
  <mergeCells count="13">
    <mergeCell ref="M6:N6"/>
    <mergeCell ref="O6:P7"/>
    <mergeCell ref="B7:C7"/>
    <mergeCell ref="D7:E7"/>
    <mergeCell ref="G7:H7"/>
    <mergeCell ref="I7:J7"/>
    <mergeCell ref="K7:L7"/>
    <mergeCell ref="M7:N7"/>
    <mergeCell ref="B6:C6"/>
    <mergeCell ref="D6:E6"/>
    <mergeCell ref="G6:H6"/>
    <mergeCell ref="I6:J6"/>
    <mergeCell ref="K6:L6"/>
  </mergeCells>
  <phoneticPr fontId="26"/>
  <conditionalFormatting sqref="C10:K209">
    <cfRule type="expression" dxfId="7" priority="9">
      <formula>$M10="失注"</formula>
    </cfRule>
  </conditionalFormatting>
  <conditionalFormatting sqref="L10:L209">
    <cfRule type="expression" dxfId="6" priority="7">
      <formula>AND(ISNUMBER(L10),L10&lt;0)</formula>
    </cfRule>
  </conditionalFormatting>
  <conditionalFormatting sqref="M10:M209">
    <cfRule type="expression" dxfId="4" priority="2">
      <formula>M10="受注"</formula>
    </cfRule>
    <cfRule type="expression" dxfId="3" priority="3">
      <formula>M10="失注"</formula>
    </cfRule>
    <cfRule type="expression" dxfId="2" priority="4">
      <formula>M10="交渉中"</formula>
    </cfRule>
    <cfRule type="expression" dxfId="1" priority="5">
      <formula>M10="提出済"</formula>
    </cfRule>
    <cfRule type="expression" dxfId="0" priority="6">
      <formula>M10="作成中"</formula>
    </cfRule>
  </conditionalFormatting>
  <dataValidations count="3">
    <dataValidation type="list" allowBlank="1" sqref="M10:M209" xr:uid="{00000000-0002-0000-0000-000000000000}">
      <formula1>"作成中,提出済,交渉中,受注,失注"</formula1>
      <formula2>0</formula2>
    </dataValidation>
    <dataValidation type="whole" operator="greaterThanOrEqual" allowBlank="1" showErrorMessage="1" error="0以上の整数で入力してください" sqref="H10:H209 O10:O209" xr:uid="{00000000-0002-0000-0000-000002000000}">
      <formula1>0</formula1>
      <formula2>0</formula2>
    </dataValidation>
    <dataValidation type="date" operator="greaterThan" allowBlank="1" showErrorMessage="1" error="日付を入力してください" sqref="D10:D209 N10:N209" xr:uid="{00000000-0002-0000-0000-000003000000}">
      <formula1>36526</formula1>
      <formula2>0</formula2>
    </dataValidation>
  </dataValidations>
  <hyperlinks>
    <hyperlink ref="A1" r:id="rId1" display="テンプレート倉庫" xr:uid="{46A9AB80-8BCC-4C19-AF83-AEE245C5AE53}"/>
    <hyperlink ref="A1:AI1" r:id="rId2" display="他にも魅力的な情報がたっぷり！テンプレート倉庫" xr:uid="{AF43F2E6-8DD4-4F08-A885-92BDB8DE529A}"/>
  </hyperlinks>
  <printOptions horizontalCentered="1"/>
  <pageMargins left="0.23622047244094491" right="0.19685039370078741" top="0.43307086614173229" bottom="0.31496062992125984" header="0.31496062992125984" footer="0.23622047244094491"/>
  <pageSetup paperSize="9" scale="73" fitToHeight="0" orientation="landscape" horizontalDpi="300" verticalDpi="300" r:id="rId3"/>
  <headerFooter>
    <oddFooter>&amp;C&amp;P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00000000-000E-0000-0000-000008000000}">
            <xm:f>AND(ISNUMBER(L10),L10&lt;=設定!$C$6)</xm:f>
            <x14:dxf>
              <font>
                <b/>
                <color rgb="FF7A5A00"/>
              </font>
              <fill>
                <patternFill>
                  <bgColor rgb="FFFFE08A"/>
                </patternFill>
              </fill>
            </x14:dxf>
          </x14:cfRule>
          <xm:sqref>L10:L209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1000000}">
          <x14:formula1>
            <xm:f>設定!$B$9:$B$23</xm:f>
          </x14:formula1>
          <x14:formula2>
            <xm:f>0</xm:f>
          </x14:formula2>
          <xm:sqref>G10:G209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9"/>
  <sheetViews>
    <sheetView showGridLines="0" zoomScaleNormal="100" workbookViewId="0"/>
  </sheetViews>
  <sheetFormatPr defaultColWidth="8.7109375" defaultRowHeight="15"/>
  <cols>
    <col min="1" max="1" width="2" customWidth="1"/>
    <col min="2" max="2" width="14" customWidth="1"/>
    <col min="3" max="3" width="11" customWidth="1"/>
    <col min="4" max="4" width="15" customWidth="1"/>
    <col min="5" max="5" width="11" customWidth="1"/>
    <col min="6" max="6" width="15" customWidth="1"/>
    <col min="7" max="8" width="11" customWidth="1"/>
  </cols>
  <sheetData>
    <row r="1" spans="1:35" s="34" customFormat="1" ht="45" customHeight="1">
      <c r="A1" s="33" t="s">
        <v>90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1:35" s="34" customFormat="1" ht="20.25" customHeight="1">
      <c r="A2" s="33"/>
      <c r="B2" s="49" t="s">
        <v>92</v>
      </c>
      <c r="C2" s="49"/>
      <c r="D2" s="49"/>
      <c r="E2" s="49"/>
      <c r="F2" s="49"/>
      <c r="G2" s="49"/>
      <c r="H2" s="49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</row>
    <row r="3" spans="1:35" ht="31.5" customHeight="1">
      <c r="B3" s="12" t="s">
        <v>73</v>
      </c>
    </row>
    <row r="5" spans="1:35" ht="16.5">
      <c r="B5" s="13" t="s">
        <v>74</v>
      </c>
      <c r="C5" s="38">
        <v>46113</v>
      </c>
      <c r="D5" s="48" t="s">
        <v>75</v>
      </c>
      <c r="E5" s="48"/>
      <c r="F5" s="48"/>
      <c r="G5" s="48"/>
      <c r="H5" s="48"/>
    </row>
    <row r="7" spans="1:35" ht="27.75" customHeight="1">
      <c r="B7" s="7" t="s">
        <v>76</v>
      </c>
      <c r="C7" s="7" t="s">
        <v>0</v>
      </c>
      <c r="D7" s="7" t="s">
        <v>77</v>
      </c>
      <c r="E7" s="7" t="s">
        <v>3</v>
      </c>
      <c r="F7" s="7" t="s">
        <v>4</v>
      </c>
      <c r="G7" s="7" t="s">
        <v>78</v>
      </c>
      <c r="H7" s="7" t="s">
        <v>2</v>
      </c>
    </row>
    <row r="8" spans="1:35" ht="16.5">
      <c r="B8" s="14">
        <f>EDATE($C$5,0)</f>
        <v>46113</v>
      </c>
      <c r="C8" s="15">
        <f>COUNTIFS(見積台帳!$D$10:$D$209,"&gt;="&amp;EDATE($C$5,0),見積台帳!$D$10:$D$209,"&lt;"&amp;EDATE($C$5,1))</f>
        <v>0</v>
      </c>
      <c r="D8" s="16">
        <f>SUMIFS(見積台帳!$H$10:$H$209,見積台帳!$D$10:$D$209,"&gt;="&amp;EDATE($C$5,0),見積台帳!$D$10:$D$209,"&lt;"&amp;EDATE($C$5,1))</f>
        <v>0</v>
      </c>
      <c r="E8" s="15">
        <f>COUNTIFS(見積台帳!$N$10:$N$209,"&gt;="&amp;EDATE($C$5,0),見積台帳!$N$10:$N$209,"&lt;"&amp;EDATE($C$5,1),見積台帳!$M$10:$M$209,"受注")</f>
        <v>0</v>
      </c>
      <c r="F8" s="16">
        <f>SUMIFS(見積台帳!$O$10:$O$209,見積台帳!$N$10:$N$209,"&gt;="&amp;EDATE($C$5,0),見積台帳!$N$10:$N$209,"&lt;"&amp;EDATE($C$5,1),見積台帳!$M$10:$M$209,"受注")</f>
        <v>0</v>
      </c>
      <c r="G8" s="17" t="str">
        <f>IFERROR(COUNTIFS(見積台帳!$D$10:$D$209,"&gt;="&amp;EDATE($C$5,0),見積台帳!$D$10:$D$209,"&lt;"&amp;EDATE($C$5,1),見積台帳!$M$10:$M$209,"受注")/(COUNTIFS(見積台帳!$D$10:$D$209,"&gt;="&amp;EDATE($C$5,0),見積台帳!$D$10:$D$209,"&lt;"&amp;EDATE($C$5,1),見積台帳!$M$10:$M$209,"受注")+COUNTIFS(見積台帳!$D$10:$D$209,"&gt;="&amp;EDATE($C$5,0),見積台帳!$D$10:$D$209,"&lt;"&amp;EDATE($C$5,1),見積台帳!$M$10:$M$209,"失注")),"")</f>
        <v/>
      </c>
      <c r="H8" s="15">
        <f>COUNTIFS(見積台帳!$D$10:$D$209,"&gt;="&amp;EDATE($C$5,0),見積台帳!$D$10:$D$209,"&lt;"&amp;EDATE($C$5,1),見積台帳!$M$10:$M$209,"作成中")+COUNTIFS(見積台帳!$D$10:$D$209,"&gt;="&amp;EDATE($C$5,0),見積台帳!$D$10:$D$209,"&lt;"&amp;EDATE($C$5,1),見積台帳!$M$10:$M$209,"提出済")+COUNTIFS(見積台帳!$D$10:$D$209,"&gt;="&amp;EDATE($C$5,0),見積台帳!$D$10:$D$209,"&lt;"&amp;EDATE($C$5,1),見積台帳!$M$10:$M$209,"交渉中")</f>
        <v>0</v>
      </c>
    </row>
    <row r="9" spans="1:35" ht="16.5">
      <c r="B9" s="14">
        <f>EDATE($C$5,1)</f>
        <v>46143</v>
      </c>
      <c r="C9" s="15">
        <f>COUNTIFS(見積台帳!$D$10:$D$209,"&gt;="&amp;EDATE($C$5,1),見積台帳!$D$10:$D$209,"&lt;"&amp;EDATE($C$5,2))</f>
        <v>0</v>
      </c>
      <c r="D9" s="16">
        <f>SUMIFS(見積台帳!$H$10:$H$209,見積台帳!$D$10:$D$209,"&gt;="&amp;EDATE($C$5,1),見積台帳!$D$10:$D$209,"&lt;"&amp;EDATE($C$5,2))</f>
        <v>0</v>
      </c>
      <c r="E9" s="15">
        <f>COUNTIFS(見積台帳!$N$10:$N$209,"&gt;="&amp;EDATE($C$5,1),見積台帳!$N$10:$N$209,"&lt;"&amp;EDATE($C$5,2),見積台帳!$M$10:$M$209,"受注")</f>
        <v>0</v>
      </c>
      <c r="F9" s="16">
        <f>SUMIFS(見積台帳!$O$10:$O$209,見積台帳!$N$10:$N$209,"&gt;="&amp;EDATE($C$5,1),見積台帳!$N$10:$N$209,"&lt;"&amp;EDATE($C$5,2),見積台帳!$M$10:$M$209,"受注")</f>
        <v>0</v>
      </c>
      <c r="G9" s="17" t="str">
        <f>IFERROR(COUNTIFS(見積台帳!$D$10:$D$209,"&gt;="&amp;EDATE($C$5,1),見積台帳!$D$10:$D$209,"&lt;"&amp;EDATE($C$5,2),見積台帳!$M$10:$M$209,"受注")/(COUNTIFS(見積台帳!$D$10:$D$209,"&gt;="&amp;EDATE($C$5,1),見積台帳!$D$10:$D$209,"&lt;"&amp;EDATE($C$5,2),見積台帳!$M$10:$M$209,"受注")+COUNTIFS(見積台帳!$D$10:$D$209,"&gt;="&amp;EDATE($C$5,1),見積台帳!$D$10:$D$209,"&lt;"&amp;EDATE($C$5,2),見積台帳!$M$10:$M$209,"失注")),"")</f>
        <v/>
      </c>
      <c r="H9" s="15">
        <f>COUNTIFS(見積台帳!$D$10:$D$209,"&gt;="&amp;EDATE($C$5,1),見積台帳!$D$10:$D$209,"&lt;"&amp;EDATE($C$5,2),見積台帳!$M$10:$M$209,"作成中")+COUNTIFS(見積台帳!$D$10:$D$209,"&gt;="&amp;EDATE($C$5,1),見積台帳!$D$10:$D$209,"&lt;"&amp;EDATE($C$5,2),見積台帳!$M$10:$M$209,"提出済")+COUNTIFS(見積台帳!$D$10:$D$209,"&gt;="&amp;EDATE($C$5,1),見積台帳!$D$10:$D$209,"&lt;"&amp;EDATE($C$5,2),見積台帳!$M$10:$M$209,"交渉中")</f>
        <v>0</v>
      </c>
    </row>
    <row r="10" spans="1:35" ht="16.5">
      <c r="B10" s="14">
        <f>EDATE($C$5,2)</f>
        <v>46174</v>
      </c>
      <c r="C10" s="15">
        <f>COUNTIFS(見積台帳!$D$10:$D$209,"&gt;="&amp;EDATE($C$5,2),見積台帳!$D$10:$D$209,"&lt;"&amp;EDATE($C$5,3))</f>
        <v>0</v>
      </c>
      <c r="D10" s="16">
        <f>SUMIFS(見積台帳!$H$10:$H$209,見積台帳!$D$10:$D$209,"&gt;="&amp;EDATE($C$5,2),見積台帳!$D$10:$D$209,"&lt;"&amp;EDATE($C$5,3))</f>
        <v>0</v>
      </c>
      <c r="E10" s="15">
        <f>COUNTIFS(見積台帳!$N$10:$N$209,"&gt;="&amp;EDATE($C$5,2),見積台帳!$N$10:$N$209,"&lt;"&amp;EDATE($C$5,3),見積台帳!$M$10:$M$209,"受注")</f>
        <v>0</v>
      </c>
      <c r="F10" s="16">
        <f>SUMIFS(見積台帳!$O$10:$O$209,見積台帳!$N$10:$N$209,"&gt;="&amp;EDATE($C$5,2),見積台帳!$N$10:$N$209,"&lt;"&amp;EDATE($C$5,3),見積台帳!$M$10:$M$209,"受注")</f>
        <v>0</v>
      </c>
      <c r="G10" s="17" t="str">
        <f>IFERROR(COUNTIFS(見積台帳!$D$10:$D$209,"&gt;="&amp;EDATE($C$5,2),見積台帳!$D$10:$D$209,"&lt;"&amp;EDATE($C$5,3),見積台帳!$M$10:$M$209,"受注")/(COUNTIFS(見積台帳!$D$10:$D$209,"&gt;="&amp;EDATE($C$5,2),見積台帳!$D$10:$D$209,"&lt;"&amp;EDATE($C$5,3),見積台帳!$M$10:$M$209,"受注")+COUNTIFS(見積台帳!$D$10:$D$209,"&gt;="&amp;EDATE($C$5,2),見積台帳!$D$10:$D$209,"&lt;"&amp;EDATE($C$5,3),見積台帳!$M$10:$M$209,"失注")),"")</f>
        <v/>
      </c>
      <c r="H10" s="15">
        <f>COUNTIFS(見積台帳!$D$10:$D$209,"&gt;="&amp;EDATE($C$5,2),見積台帳!$D$10:$D$209,"&lt;"&amp;EDATE($C$5,3),見積台帳!$M$10:$M$209,"作成中")+COUNTIFS(見積台帳!$D$10:$D$209,"&gt;="&amp;EDATE($C$5,2),見積台帳!$D$10:$D$209,"&lt;"&amp;EDATE($C$5,3),見積台帳!$M$10:$M$209,"提出済")+COUNTIFS(見積台帳!$D$10:$D$209,"&gt;="&amp;EDATE($C$5,2),見積台帳!$D$10:$D$209,"&lt;"&amp;EDATE($C$5,3),見積台帳!$M$10:$M$209,"交渉中")</f>
        <v>0</v>
      </c>
    </row>
    <row r="11" spans="1:35" ht="16.5">
      <c r="B11" s="14">
        <f>EDATE($C$5,3)</f>
        <v>46204</v>
      </c>
      <c r="C11" s="15">
        <f>COUNTIFS(見積台帳!$D$10:$D$209,"&gt;="&amp;EDATE($C$5,3),見積台帳!$D$10:$D$209,"&lt;"&amp;EDATE($C$5,4))</f>
        <v>0</v>
      </c>
      <c r="D11" s="16">
        <f>SUMIFS(見積台帳!$H$10:$H$209,見積台帳!$D$10:$D$209,"&gt;="&amp;EDATE($C$5,3),見積台帳!$D$10:$D$209,"&lt;"&amp;EDATE($C$5,4))</f>
        <v>0</v>
      </c>
      <c r="E11" s="15">
        <f>COUNTIFS(見積台帳!$N$10:$N$209,"&gt;="&amp;EDATE($C$5,3),見積台帳!$N$10:$N$209,"&lt;"&amp;EDATE($C$5,4),見積台帳!$M$10:$M$209,"受注")</f>
        <v>0</v>
      </c>
      <c r="F11" s="16">
        <f>SUMIFS(見積台帳!$O$10:$O$209,見積台帳!$N$10:$N$209,"&gt;="&amp;EDATE($C$5,3),見積台帳!$N$10:$N$209,"&lt;"&amp;EDATE($C$5,4),見積台帳!$M$10:$M$209,"受注")</f>
        <v>0</v>
      </c>
      <c r="G11" s="17" t="str">
        <f>IFERROR(COUNTIFS(見積台帳!$D$10:$D$209,"&gt;="&amp;EDATE($C$5,3),見積台帳!$D$10:$D$209,"&lt;"&amp;EDATE($C$5,4),見積台帳!$M$10:$M$209,"受注")/(COUNTIFS(見積台帳!$D$10:$D$209,"&gt;="&amp;EDATE($C$5,3),見積台帳!$D$10:$D$209,"&lt;"&amp;EDATE($C$5,4),見積台帳!$M$10:$M$209,"受注")+COUNTIFS(見積台帳!$D$10:$D$209,"&gt;="&amp;EDATE($C$5,3),見積台帳!$D$10:$D$209,"&lt;"&amp;EDATE($C$5,4),見積台帳!$M$10:$M$209,"失注")),"")</f>
        <v/>
      </c>
      <c r="H11" s="15">
        <f>COUNTIFS(見積台帳!$D$10:$D$209,"&gt;="&amp;EDATE($C$5,3),見積台帳!$D$10:$D$209,"&lt;"&amp;EDATE($C$5,4),見積台帳!$M$10:$M$209,"作成中")+COUNTIFS(見積台帳!$D$10:$D$209,"&gt;="&amp;EDATE($C$5,3),見積台帳!$D$10:$D$209,"&lt;"&amp;EDATE($C$5,4),見積台帳!$M$10:$M$209,"提出済")+COUNTIFS(見積台帳!$D$10:$D$209,"&gt;="&amp;EDATE($C$5,3),見積台帳!$D$10:$D$209,"&lt;"&amp;EDATE($C$5,4),見積台帳!$M$10:$M$209,"交渉中")</f>
        <v>0</v>
      </c>
    </row>
    <row r="12" spans="1:35" ht="16.5">
      <c r="B12" s="14">
        <f>EDATE($C$5,4)</f>
        <v>46235</v>
      </c>
      <c r="C12" s="15">
        <f>COUNTIFS(見積台帳!$D$10:$D$209,"&gt;="&amp;EDATE($C$5,4),見積台帳!$D$10:$D$209,"&lt;"&amp;EDATE($C$5,5))</f>
        <v>0</v>
      </c>
      <c r="D12" s="16">
        <f>SUMIFS(見積台帳!$H$10:$H$209,見積台帳!$D$10:$D$209,"&gt;="&amp;EDATE($C$5,4),見積台帳!$D$10:$D$209,"&lt;"&amp;EDATE($C$5,5))</f>
        <v>0</v>
      </c>
      <c r="E12" s="15">
        <f>COUNTIFS(見積台帳!$N$10:$N$209,"&gt;="&amp;EDATE($C$5,4),見積台帳!$N$10:$N$209,"&lt;"&amp;EDATE($C$5,5),見積台帳!$M$10:$M$209,"受注")</f>
        <v>0</v>
      </c>
      <c r="F12" s="16">
        <f>SUMIFS(見積台帳!$O$10:$O$209,見積台帳!$N$10:$N$209,"&gt;="&amp;EDATE($C$5,4),見積台帳!$N$10:$N$209,"&lt;"&amp;EDATE($C$5,5),見積台帳!$M$10:$M$209,"受注")</f>
        <v>0</v>
      </c>
      <c r="G12" s="17" t="str">
        <f>IFERROR(COUNTIFS(見積台帳!$D$10:$D$209,"&gt;="&amp;EDATE($C$5,4),見積台帳!$D$10:$D$209,"&lt;"&amp;EDATE($C$5,5),見積台帳!$M$10:$M$209,"受注")/(COUNTIFS(見積台帳!$D$10:$D$209,"&gt;="&amp;EDATE($C$5,4),見積台帳!$D$10:$D$209,"&lt;"&amp;EDATE($C$5,5),見積台帳!$M$10:$M$209,"受注")+COUNTIFS(見積台帳!$D$10:$D$209,"&gt;="&amp;EDATE($C$5,4),見積台帳!$D$10:$D$209,"&lt;"&amp;EDATE($C$5,5),見積台帳!$M$10:$M$209,"失注")),"")</f>
        <v/>
      </c>
      <c r="H12" s="15">
        <f>COUNTIFS(見積台帳!$D$10:$D$209,"&gt;="&amp;EDATE($C$5,4),見積台帳!$D$10:$D$209,"&lt;"&amp;EDATE($C$5,5),見積台帳!$M$10:$M$209,"作成中")+COUNTIFS(見積台帳!$D$10:$D$209,"&gt;="&amp;EDATE($C$5,4),見積台帳!$D$10:$D$209,"&lt;"&amp;EDATE($C$5,5),見積台帳!$M$10:$M$209,"提出済")+COUNTIFS(見積台帳!$D$10:$D$209,"&gt;="&amp;EDATE($C$5,4),見積台帳!$D$10:$D$209,"&lt;"&amp;EDATE($C$5,5),見積台帳!$M$10:$M$209,"交渉中")</f>
        <v>0</v>
      </c>
    </row>
    <row r="13" spans="1:35" ht="16.5">
      <c r="B13" s="14">
        <f>EDATE($C$5,5)</f>
        <v>46266</v>
      </c>
      <c r="C13" s="15">
        <f>COUNTIFS(見積台帳!$D$10:$D$209,"&gt;="&amp;EDATE($C$5,5),見積台帳!$D$10:$D$209,"&lt;"&amp;EDATE($C$5,6))</f>
        <v>5</v>
      </c>
      <c r="D13" s="16">
        <f>SUMIFS(見積台帳!$H$10:$H$209,見積台帳!$D$10:$D$209,"&gt;="&amp;EDATE($C$5,5),見積台帳!$D$10:$D$209,"&lt;"&amp;EDATE($C$5,6))</f>
        <v>5910000</v>
      </c>
      <c r="E13" s="15">
        <f>COUNTIFS(見積台帳!$N$10:$N$209,"&gt;="&amp;EDATE($C$5,5),見積台帳!$N$10:$N$209,"&lt;"&amp;EDATE($C$5,6),見積台帳!$M$10:$M$209,"受注")</f>
        <v>2</v>
      </c>
      <c r="F13" s="16">
        <f>SUMIFS(見積台帳!$O$10:$O$209,見積台帳!$N$10:$N$209,"&gt;="&amp;EDATE($C$5,5),見積台帳!$N$10:$N$209,"&lt;"&amp;EDATE($C$5,6),見積台帳!$M$10:$M$209,"受注")</f>
        <v>470000</v>
      </c>
      <c r="G13" s="17">
        <f>IFERROR(COUNTIFS(見積台帳!$D$10:$D$209,"&gt;="&amp;EDATE($C$5,5),見積台帳!$D$10:$D$209,"&lt;"&amp;EDATE($C$5,6),見積台帳!$M$10:$M$209,"受注")/(COUNTIFS(見積台帳!$D$10:$D$209,"&gt;="&amp;EDATE($C$5,5),見積台帳!$D$10:$D$209,"&lt;"&amp;EDATE($C$5,6),見積台帳!$M$10:$M$209,"受注")+COUNTIFS(見積台帳!$D$10:$D$209,"&gt;="&amp;EDATE($C$5,5),見積台帳!$D$10:$D$209,"&lt;"&amp;EDATE($C$5,6),見積台帳!$M$10:$M$209,"失注")),"")</f>
        <v>0.75</v>
      </c>
      <c r="H13" s="15">
        <f>COUNTIFS(見積台帳!$D$10:$D$209,"&gt;="&amp;EDATE($C$5,5),見積台帳!$D$10:$D$209,"&lt;"&amp;EDATE($C$5,6),見積台帳!$M$10:$M$209,"作成中")+COUNTIFS(見積台帳!$D$10:$D$209,"&gt;="&amp;EDATE($C$5,5),見積台帳!$D$10:$D$209,"&lt;"&amp;EDATE($C$5,6),見積台帳!$M$10:$M$209,"提出済")+COUNTIFS(見積台帳!$D$10:$D$209,"&gt;="&amp;EDATE($C$5,5),見積台帳!$D$10:$D$209,"&lt;"&amp;EDATE($C$5,6),見積台帳!$M$10:$M$209,"交渉中")</f>
        <v>1</v>
      </c>
    </row>
    <row r="14" spans="1:35" ht="16.5">
      <c r="B14" s="14">
        <f>EDATE($C$5,6)</f>
        <v>46296</v>
      </c>
      <c r="C14" s="15">
        <f>COUNTIFS(見積台帳!$D$10:$D$209,"&gt;="&amp;EDATE($C$5,6),見積台帳!$D$10:$D$209,"&lt;"&amp;EDATE($C$5,7))</f>
        <v>7</v>
      </c>
      <c r="D14" s="16">
        <f>SUMIFS(見積台帳!$H$10:$H$209,見積台帳!$D$10:$D$209,"&gt;="&amp;EDATE($C$5,6),見積台帳!$D$10:$D$209,"&lt;"&amp;EDATE($C$5,7))</f>
        <v>4140000</v>
      </c>
      <c r="E14" s="15">
        <f>COUNTIFS(見積台帳!$N$10:$N$209,"&gt;="&amp;EDATE($C$5,6),見積台帳!$N$10:$N$209,"&lt;"&amp;EDATE($C$5,7),見積台帳!$M$10:$M$209,"受注")</f>
        <v>2</v>
      </c>
      <c r="F14" s="16">
        <f>SUMIFS(見積台帳!$O$10:$O$209,見積台帳!$N$10:$N$209,"&gt;="&amp;EDATE($C$5,6),見積台帳!$N$10:$N$209,"&lt;"&amp;EDATE($C$5,7),見積台帳!$M$10:$M$209,"受注")</f>
        <v>1260000</v>
      </c>
      <c r="G14" s="17">
        <f>IFERROR(COUNTIFS(見積台帳!$D$10:$D$209,"&gt;="&amp;EDATE($C$5,6),見積台帳!$D$10:$D$209,"&lt;"&amp;EDATE($C$5,7),見積台帳!$M$10:$M$209,"受注")/(COUNTIFS(見積台帳!$D$10:$D$209,"&gt;="&amp;EDATE($C$5,6),見積台帳!$D$10:$D$209,"&lt;"&amp;EDATE($C$5,7),見積台帳!$M$10:$M$209,"受注")+COUNTIFS(見積台帳!$D$10:$D$209,"&gt;="&amp;EDATE($C$5,6),見積台帳!$D$10:$D$209,"&lt;"&amp;EDATE($C$5,7),見積台帳!$M$10:$M$209,"失注")),"")</f>
        <v>1</v>
      </c>
      <c r="H14" s="15">
        <f>COUNTIFS(見積台帳!$D$10:$D$209,"&gt;="&amp;EDATE($C$5,6),見積台帳!$D$10:$D$209,"&lt;"&amp;EDATE($C$5,7),見積台帳!$M$10:$M$209,"作成中")+COUNTIFS(見積台帳!$D$10:$D$209,"&gt;="&amp;EDATE($C$5,6),見積台帳!$D$10:$D$209,"&lt;"&amp;EDATE($C$5,7),見積台帳!$M$10:$M$209,"提出済")+COUNTIFS(見積台帳!$D$10:$D$209,"&gt;="&amp;EDATE($C$5,6),見積台帳!$D$10:$D$209,"&lt;"&amp;EDATE($C$5,7),見積台帳!$M$10:$M$209,"交渉中")</f>
        <v>6</v>
      </c>
    </row>
    <row r="15" spans="1:35" ht="16.5">
      <c r="B15" s="14">
        <f>EDATE($C$5,7)</f>
        <v>46327</v>
      </c>
      <c r="C15" s="15">
        <f>COUNTIFS(見積台帳!$D$10:$D$209,"&gt;="&amp;EDATE($C$5,7),見積台帳!$D$10:$D$209,"&lt;"&amp;EDATE($C$5,8))</f>
        <v>0</v>
      </c>
      <c r="D15" s="16">
        <f>SUMIFS(見積台帳!$H$10:$H$209,見積台帳!$D$10:$D$209,"&gt;="&amp;EDATE($C$5,7),見積台帳!$D$10:$D$209,"&lt;"&amp;EDATE($C$5,8))</f>
        <v>0</v>
      </c>
      <c r="E15" s="15">
        <f>COUNTIFS(見積台帳!$N$10:$N$209,"&gt;="&amp;EDATE($C$5,7),見積台帳!$N$10:$N$209,"&lt;"&amp;EDATE($C$5,8),見積台帳!$M$10:$M$209,"受注")</f>
        <v>0</v>
      </c>
      <c r="F15" s="16">
        <f>SUMIFS(見積台帳!$O$10:$O$209,見積台帳!$N$10:$N$209,"&gt;="&amp;EDATE($C$5,7),見積台帳!$N$10:$N$209,"&lt;"&amp;EDATE($C$5,8),見積台帳!$M$10:$M$209,"受注")</f>
        <v>0</v>
      </c>
      <c r="G15" s="17" t="str">
        <f>IFERROR(COUNTIFS(見積台帳!$D$10:$D$209,"&gt;="&amp;EDATE($C$5,7),見積台帳!$D$10:$D$209,"&lt;"&amp;EDATE($C$5,8),見積台帳!$M$10:$M$209,"受注")/(COUNTIFS(見積台帳!$D$10:$D$209,"&gt;="&amp;EDATE($C$5,7),見積台帳!$D$10:$D$209,"&lt;"&amp;EDATE($C$5,8),見積台帳!$M$10:$M$209,"受注")+COUNTIFS(見積台帳!$D$10:$D$209,"&gt;="&amp;EDATE($C$5,7),見積台帳!$D$10:$D$209,"&lt;"&amp;EDATE($C$5,8),見積台帳!$M$10:$M$209,"失注")),"")</f>
        <v/>
      </c>
      <c r="H15" s="15">
        <f>COUNTIFS(見積台帳!$D$10:$D$209,"&gt;="&amp;EDATE($C$5,7),見積台帳!$D$10:$D$209,"&lt;"&amp;EDATE($C$5,8),見積台帳!$M$10:$M$209,"作成中")+COUNTIFS(見積台帳!$D$10:$D$209,"&gt;="&amp;EDATE($C$5,7),見積台帳!$D$10:$D$209,"&lt;"&amp;EDATE($C$5,8),見積台帳!$M$10:$M$209,"提出済")+COUNTIFS(見積台帳!$D$10:$D$209,"&gt;="&amp;EDATE($C$5,7),見積台帳!$D$10:$D$209,"&lt;"&amp;EDATE($C$5,8),見積台帳!$M$10:$M$209,"交渉中")</f>
        <v>0</v>
      </c>
    </row>
    <row r="16" spans="1:35" ht="16.5">
      <c r="B16" s="14">
        <f>EDATE($C$5,8)</f>
        <v>46357</v>
      </c>
      <c r="C16" s="15">
        <f>COUNTIFS(見積台帳!$D$10:$D$209,"&gt;="&amp;EDATE($C$5,8),見積台帳!$D$10:$D$209,"&lt;"&amp;EDATE($C$5,9))</f>
        <v>0</v>
      </c>
      <c r="D16" s="16">
        <f>SUMIFS(見積台帳!$H$10:$H$209,見積台帳!$D$10:$D$209,"&gt;="&amp;EDATE($C$5,8),見積台帳!$D$10:$D$209,"&lt;"&amp;EDATE($C$5,9))</f>
        <v>0</v>
      </c>
      <c r="E16" s="15">
        <f>COUNTIFS(見積台帳!$N$10:$N$209,"&gt;="&amp;EDATE($C$5,8),見積台帳!$N$10:$N$209,"&lt;"&amp;EDATE($C$5,9),見積台帳!$M$10:$M$209,"受注")</f>
        <v>0</v>
      </c>
      <c r="F16" s="16">
        <f>SUMIFS(見積台帳!$O$10:$O$209,見積台帳!$N$10:$N$209,"&gt;="&amp;EDATE($C$5,8),見積台帳!$N$10:$N$209,"&lt;"&amp;EDATE($C$5,9),見積台帳!$M$10:$M$209,"受注")</f>
        <v>0</v>
      </c>
      <c r="G16" s="17" t="str">
        <f>IFERROR(COUNTIFS(見積台帳!$D$10:$D$209,"&gt;="&amp;EDATE($C$5,8),見積台帳!$D$10:$D$209,"&lt;"&amp;EDATE($C$5,9),見積台帳!$M$10:$M$209,"受注")/(COUNTIFS(見積台帳!$D$10:$D$209,"&gt;="&amp;EDATE($C$5,8),見積台帳!$D$10:$D$209,"&lt;"&amp;EDATE($C$5,9),見積台帳!$M$10:$M$209,"受注")+COUNTIFS(見積台帳!$D$10:$D$209,"&gt;="&amp;EDATE($C$5,8),見積台帳!$D$10:$D$209,"&lt;"&amp;EDATE($C$5,9),見積台帳!$M$10:$M$209,"失注")),"")</f>
        <v/>
      </c>
      <c r="H16" s="15">
        <f>COUNTIFS(見積台帳!$D$10:$D$209,"&gt;="&amp;EDATE($C$5,8),見積台帳!$D$10:$D$209,"&lt;"&amp;EDATE($C$5,9),見積台帳!$M$10:$M$209,"作成中")+COUNTIFS(見積台帳!$D$10:$D$209,"&gt;="&amp;EDATE($C$5,8),見積台帳!$D$10:$D$209,"&lt;"&amp;EDATE($C$5,9),見積台帳!$M$10:$M$209,"提出済")+COUNTIFS(見積台帳!$D$10:$D$209,"&gt;="&amp;EDATE($C$5,8),見積台帳!$D$10:$D$209,"&lt;"&amp;EDATE($C$5,9),見積台帳!$M$10:$M$209,"交渉中")</f>
        <v>0</v>
      </c>
    </row>
    <row r="17" spans="2:8" ht="16.5">
      <c r="B17" s="14">
        <f>EDATE($C$5,9)</f>
        <v>46388</v>
      </c>
      <c r="C17" s="15">
        <f>COUNTIFS(見積台帳!$D$10:$D$209,"&gt;="&amp;EDATE($C$5,9),見積台帳!$D$10:$D$209,"&lt;"&amp;EDATE($C$5,10))</f>
        <v>0</v>
      </c>
      <c r="D17" s="16">
        <f>SUMIFS(見積台帳!$H$10:$H$209,見積台帳!$D$10:$D$209,"&gt;="&amp;EDATE($C$5,9),見積台帳!$D$10:$D$209,"&lt;"&amp;EDATE($C$5,10))</f>
        <v>0</v>
      </c>
      <c r="E17" s="15">
        <f>COUNTIFS(見積台帳!$N$10:$N$209,"&gt;="&amp;EDATE($C$5,9),見積台帳!$N$10:$N$209,"&lt;"&amp;EDATE($C$5,10),見積台帳!$M$10:$M$209,"受注")</f>
        <v>0</v>
      </c>
      <c r="F17" s="16">
        <f>SUMIFS(見積台帳!$O$10:$O$209,見積台帳!$N$10:$N$209,"&gt;="&amp;EDATE($C$5,9),見積台帳!$N$10:$N$209,"&lt;"&amp;EDATE($C$5,10),見積台帳!$M$10:$M$209,"受注")</f>
        <v>0</v>
      </c>
      <c r="G17" s="17" t="str">
        <f>IFERROR(COUNTIFS(見積台帳!$D$10:$D$209,"&gt;="&amp;EDATE($C$5,9),見積台帳!$D$10:$D$209,"&lt;"&amp;EDATE($C$5,10),見積台帳!$M$10:$M$209,"受注")/(COUNTIFS(見積台帳!$D$10:$D$209,"&gt;="&amp;EDATE($C$5,9),見積台帳!$D$10:$D$209,"&lt;"&amp;EDATE($C$5,10),見積台帳!$M$10:$M$209,"受注")+COUNTIFS(見積台帳!$D$10:$D$209,"&gt;="&amp;EDATE($C$5,9),見積台帳!$D$10:$D$209,"&lt;"&amp;EDATE($C$5,10),見積台帳!$M$10:$M$209,"失注")),"")</f>
        <v/>
      </c>
      <c r="H17" s="15">
        <f>COUNTIFS(見積台帳!$D$10:$D$209,"&gt;="&amp;EDATE($C$5,9),見積台帳!$D$10:$D$209,"&lt;"&amp;EDATE($C$5,10),見積台帳!$M$10:$M$209,"作成中")+COUNTIFS(見積台帳!$D$10:$D$209,"&gt;="&amp;EDATE($C$5,9),見積台帳!$D$10:$D$209,"&lt;"&amp;EDATE($C$5,10),見積台帳!$M$10:$M$209,"提出済")+COUNTIFS(見積台帳!$D$10:$D$209,"&gt;="&amp;EDATE($C$5,9),見積台帳!$D$10:$D$209,"&lt;"&amp;EDATE($C$5,10),見積台帳!$M$10:$M$209,"交渉中")</f>
        <v>0</v>
      </c>
    </row>
    <row r="18" spans="2:8" ht="16.5">
      <c r="B18" s="14">
        <f>EDATE($C$5,10)</f>
        <v>46419</v>
      </c>
      <c r="C18" s="15">
        <f>COUNTIFS(見積台帳!$D$10:$D$209,"&gt;="&amp;EDATE($C$5,10),見積台帳!$D$10:$D$209,"&lt;"&amp;EDATE($C$5,11))</f>
        <v>0</v>
      </c>
      <c r="D18" s="16">
        <f>SUMIFS(見積台帳!$H$10:$H$209,見積台帳!$D$10:$D$209,"&gt;="&amp;EDATE($C$5,10),見積台帳!$D$10:$D$209,"&lt;"&amp;EDATE($C$5,11))</f>
        <v>0</v>
      </c>
      <c r="E18" s="15">
        <f>COUNTIFS(見積台帳!$N$10:$N$209,"&gt;="&amp;EDATE($C$5,10),見積台帳!$N$10:$N$209,"&lt;"&amp;EDATE($C$5,11),見積台帳!$M$10:$M$209,"受注")</f>
        <v>0</v>
      </c>
      <c r="F18" s="16">
        <f>SUMIFS(見積台帳!$O$10:$O$209,見積台帳!$N$10:$N$209,"&gt;="&amp;EDATE($C$5,10),見積台帳!$N$10:$N$209,"&lt;"&amp;EDATE($C$5,11),見積台帳!$M$10:$M$209,"受注")</f>
        <v>0</v>
      </c>
      <c r="G18" s="17" t="str">
        <f>IFERROR(COUNTIFS(見積台帳!$D$10:$D$209,"&gt;="&amp;EDATE($C$5,10),見積台帳!$D$10:$D$209,"&lt;"&amp;EDATE($C$5,11),見積台帳!$M$10:$M$209,"受注")/(COUNTIFS(見積台帳!$D$10:$D$209,"&gt;="&amp;EDATE($C$5,10),見積台帳!$D$10:$D$209,"&lt;"&amp;EDATE($C$5,11),見積台帳!$M$10:$M$209,"受注")+COUNTIFS(見積台帳!$D$10:$D$209,"&gt;="&amp;EDATE($C$5,10),見積台帳!$D$10:$D$209,"&lt;"&amp;EDATE($C$5,11),見積台帳!$M$10:$M$209,"失注")),"")</f>
        <v/>
      </c>
      <c r="H18" s="15">
        <f>COUNTIFS(見積台帳!$D$10:$D$209,"&gt;="&amp;EDATE($C$5,10),見積台帳!$D$10:$D$209,"&lt;"&amp;EDATE($C$5,11),見積台帳!$M$10:$M$209,"作成中")+COUNTIFS(見積台帳!$D$10:$D$209,"&gt;="&amp;EDATE($C$5,10),見積台帳!$D$10:$D$209,"&lt;"&amp;EDATE($C$5,11),見積台帳!$M$10:$M$209,"提出済")+COUNTIFS(見積台帳!$D$10:$D$209,"&gt;="&amp;EDATE($C$5,10),見積台帳!$D$10:$D$209,"&lt;"&amp;EDATE($C$5,11),見積台帳!$M$10:$M$209,"交渉中")</f>
        <v>0</v>
      </c>
    </row>
    <row r="19" spans="2:8" ht="16.5">
      <c r="B19" s="14">
        <f>EDATE($C$5,11)</f>
        <v>46447</v>
      </c>
      <c r="C19" s="15">
        <f>COUNTIFS(見積台帳!$D$10:$D$209,"&gt;="&amp;EDATE($C$5,11),見積台帳!$D$10:$D$209,"&lt;"&amp;EDATE($C$5,12))</f>
        <v>0</v>
      </c>
      <c r="D19" s="16">
        <f>SUMIFS(見積台帳!$H$10:$H$209,見積台帳!$D$10:$D$209,"&gt;="&amp;EDATE($C$5,11),見積台帳!$D$10:$D$209,"&lt;"&amp;EDATE($C$5,12))</f>
        <v>0</v>
      </c>
      <c r="E19" s="15">
        <f>COUNTIFS(見積台帳!$N$10:$N$209,"&gt;="&amp;EDATE($C$5,11),見積台帳!$N$10:$N$209,"&lt;"&amp;EDATE($C$5,12),見積台帳!$M$10:$M$209,"受注")</f>
        <v>0</v>
      </c>
      <c r="F19" s="16">
        <f>SUMIFS(見積台帳!$O$10:$O$209,見積台帳!$N$10:$N$209,"&gt;="&amp;EDATE($C$5,11),見積台帳!$N$10:$N$209,"&lt;"&amp;EDATE($C$5,12),見積台帳!$M$10:$M$209,"受注")</f>
        <v>0</v>
      </c>
      <c r="G19" s="17" t="str">
        <f>IFERROR(COUNTIFS(見積台帳!$D$10:$D$209,"&gt;="&amp;EDATE($C$5,11),見積台帳!$D$10:$D$209,"&lt;"&amp;EDATE($C$5,12),見積台帳!$M$10:$M$209,"受注")/(COUNTIFS(見積台帳!$D$10:$D$209,"&gt;="&amp;EDATE($C$5,11),見積台帳!$D$10:$D$209,"&lt;"&amp;EDATE($C$5,12),見積台帳!$M$10:$M$209,"受注")+COUNTIFS(見積台帳!$D$10:$D$209,"&gt;="&amp;EDATE($C$5,11),見積台帳!$D$10:$D$209,"&lt;"&amp;EDATE($C$5,12),見積台帳!$M$10:$M$209,"失注")),"")</f>
        <v/>
      </c>
      <c r="H19" s="15">
        <f>COUNTIFS(見積台帳!$D$10:$D$209,"&gt;="&amp;EDATE($C$5,11),見積台帳!$D$10:$D$209,"&lt;"&amp;EDATE($C$5,12),見積台帳!$M$10:$M$209,"作成中")+COUNTIFS(見積台帳!$D$10:$D$209,"&gt;="&amp;EDATE($C$5,11),見積台帳!$D$10:$D$209,"&lt;"&amp;EDATE($C$5,12),見積台帳!$M$10:$M$209,"提出済")+COUNTIFS(見積台帳!$D$10:$D$209,"&gt;="&amp;EDATE($C$5,11),見積台帳!$D$10:$D$209,"&lt;"&amp;EDATE($C$5,12),見積台帳!$M$10:$M$209,"交渉中")</f>
        <v>0</v>
      </c>
    </row>
    <row r="20" spans="2:8" ht="16.5">
      <c r="B20" s="18" t="s">
        <v>79</v>
      </c>
      <c r="C20" s="19">
        <f>SUM(C8:C19)</f>
        <v>12</v>
      </c>
      <c r="D20" s="20">
        <f>SUM(D8:D19)</f>
        <v>10050000</v>
      </c>
      <c r="E20" s="19">
        <f>SUM(E8:E19)</f>
        <v>4</v>
      </c>
      <c r="F20" s="20">
        <f>SUM(F8:F19)</f>
        <v>1730000</v>
      </c>
      <c r="G20" s="21">
        <f>IFERROR(SUMPRODUCT(--(見積台帳!$D$10:$D$209&gt;=$C$5),--(見積台帳!$D$10:$D$209&lt;EDATE($C$5,12)),--(見積台帳!$M$10:$M$209="受注"))/(SUMPRODUCT(--(見積台帳!$D$10:$D$209&gt;=$C$5),--(見積台帳!$D$10:$D$209&lt;EDATE($C$5,12)),--(見積台帳!$M$10:$M$209="受注"))+SUMPRODUCT(--(見積台帳!$D$10:$D$209&gt;=$C$5),--(見積台帳!$D$10:$D$209&lt;EDATE($C$5,12)),--(見積台帳!$M$10:$M$209="失注"))),"")</f>
        <v>0.8</v>
      </c>
      <c r="H20" s="19">
        <f>SUM(H8:H19)</f>
        <v>7</v>
      </c>
    </row>
    <row r="23" spans="2:8" ht="19.5">
      <c r="B23" s="22" t="s">
        <v>80</v>
      </c>
    </row>
    <row r="24" spans="2:8" ht="27.75" customHeight="1">
      <c r="B24" s="7" t="s">
        <v>12</v>
      </c>
      <c r="C24" s="7" t="s">
        <v>0</v>
      </c>
      <c r="D24" s="7" t="s">
        <v>77</v>
      </c>
      <c r="E24" s="7" t="s">
        <v>3</v>
      </c>
      <c r="F24" s="7" t="s">
        <v>4</v>
      </c>
      <c r="G24" s="7" t="s">
        <v>78</v>
      </c>
      <c r="H24" s="7" t="s">
        <v>2</v>
      </c>
    </row>
    <row r="25" spans="2:8" ht="16.5">
      <c r="B25" s="23" t="str">
        <f>IF(設定!B9="","",設定!B9)</f>
        <v>佐藤</v>
      </c>
      <c r="C25" s="15">
        <f>IF($B25="","",COUNTIFS(見積台帳!$G$10:$G$209,$B25,見積台帳!$D$10:$D$209,"&lt;&gt;"))</f>
        <v>3</v>
      </c>
      <c r="D25" s="16">
        <f>IF($B25="","",SUMIFS(見積台帳!$H$10:$H$209,見積台帳!$G$10:$G$209,$B25))</f>
        <v>3500000</v>
      </c>
      <c r="E25" s="15">
        <f>IF($B25="","",COUNTIFS(見積台帳!$G$10:$G$209,$B25,見積台帳!$M$10:$M$209,"受注"))</f>
        <v>1</v>
      </c>
      <c r="F25" s="16">
        <f>IF($B25="","",SUMIFS(見積台帳!$O$10:$O$209,見積台帳!$G$10:$G$209,$B25,見積台帳!$M$10:$M$209,"受注"))</f>
        <v>360000</v>
      </c>
      <c r="G25" s="17">
        <f>IF($B25="","",IFERROR(COUNTIFS(見積台帳!$G$10:$G$209,$B25,見積台帳!$M$10:$M$209,"受注")/(COUNTIFS(見積台帳!$G$10:$G$209,$B25,見積台帳!$M$10:$M$209,"受注")+COUNTIFS(見積台帳!$G$10:$G$209,$B25,見積台帳!$M$10:$M$209,"失注")),""))</f>
        <v>1</v>
      </c>
      <c r="H25" s="15">
        <f>IF($B25="","",COUNTIFS(見積台帳!$G$10:$G$209,$B25,見積台帳!$M$10:$M$209,"作成中")+COUNTIFS(見積台帳!$G$10:$G$209,$B25,見積台帳!$M$10:$M$209,"提出済")+COUNTIFS(見積台帳!$G$10:$G$209,$B25,見積台帳!$M$10:$M$209,"交渉中"))</f>
        <v>2</v>
      </c>
    </row>
    <row r="26" spans="2:8" ht="16.5">
      <c r="B26" s="23" t="str">
        <f>IF(設定!B10="","",設定!B10)</f>
        <v>鈴木</v>
      </c>
      <c r="C26" s="15">
        <f>IF($B26="","",COUNTIFS(見積台帳!$G$10:$G$209,$B26,見積台帳!$D$10:$D$209,"&lt;&gt;"))</f>
        <v>3</v>
      </c>
      <c r="D26" s="16">
        <f>IF($B26="","",SUMIFS(見積台帳!$H$10:$H$209,見積台帳!$G$10:$G$209,$B26))</f>
        <v>3890000</v>
      </c>
      <c r="E26" s="15">
        <f>IF($B26="","",COUNTIFS(見積台帳!$G$10:$G$209,$B26,見積台帳!$M$10:$M$209,"受注"))</f>
        <v>0</v>
      </c>
      <c r="F26" s="16">
        <f>IF($B26="","",SUMIFS(見積台帳!$O$10:$O$209,見積台帳!$G$10:$G$209,$B26,見積台帳!$M$10:$M$209,"受注"))</f>
        <v>0</v>
      </c>
      <c r="G26" s="17">
        <f>IF($B26="","",IFERROR(COUNTIFS(見積台帳!$G$10:$G$209,$B26,見積台帳!$M$10:$M$209,"受注")/(COUNTIFS(見積台帳!$G$10:$G$209,$B26,見積台帳!$M$10:$M$209,"受注")+COUNTIFS(見積台帳!$G$10:$G$209,$B26,見積台帳!$M$10:$M$209,"失注")),""))</f>
        <v>0</v>
      </c>
      <c r="H26" s="15">
        <f>IF($B26="","",COUNTIFS(見積台帳!$G$10:$G$209,$B26,見積台帳!$M$10:$M$209,"作成中")+COUNTIFS(見積台帳!$G$10:$G$209,$B26,見積台帳!$M$10:$M$209,"提出済")+COUNTIFS(見積台帳!$G$10:$G$209,$B26,見積台帳!$M$10:$M$209,"交渉中"))</f>
        <v>2</v>
      </c>
    </row>
    <row r="27" spans="2:8" ht="16.5">
      <c r="B27" s="23" t="str">
        <f>IF(設定!B11="","",設定!B11)</f>
        <v>高橋</v>
      </c>
      <c r="C27" s="15">
        <f>IF($B27="","",COUNTIFS(見積台帳!$G$10:$G$209,$B27,見積台帳!$D$10:$D$209,"&lt;&gt;"))</f>
        <v>3</v>
      </c>
      <c r="D27" s="16">
        <f>IF($B27="","",SUMIFS(見積台帳!$H$10:$H$209,見積台帳!$G$10:$G$209,$B27))</f>
        <v>760000</v>
      </c>
      <c r="E27" s="15">
        <f>IF($B27="","",COUNTIFS(見積台帳!$G$10:$G$209,$B27,見積台帳!$M$10:$M$209,"受注"))</f>
        <v>1</v>
      </c>
      <c r="F27" s="16">
        <f>IF($B27="","",SUMIFS(見積台帳!$O$10:$O$209,見積台帳!$G$10:$G$209,$B27,見積台帳!$M$10:$M$209,"受注"))</f>
        <v>110000</v>
      </c>
      <c r="G27" s="17">
        <f>IF($B27="","",IFERROR(COUNTIFS(見積台帳!$G$10:$G$209,$B27,見積台帳!$M$10:$M$209,"受注")/(COUNTIFS(見積台帳!$G$10:$G$209,$B27,見積台帳!$M$10:$M$209,"受注")+COUNTIFS(見積台帳!$G$10:$G$209,$B27,見積台帳!$M$10:$M$209,"失注")),""))</f>
        <v>1</v>
      </c>
      <c r="H27" s="15">
        <f>IF($B27="","",COUNTIFS(見積台帳!$G$10:$G$209,$B27,見積台帳!$M$10:$M$209,"作成中")+COUNTIFS(見積台帳!$G$10:$G$209,$B27,見積台帳!$M$10:$M$209,"提出済")+COUNTIFS(見積台帳!$G$10:$G$209,$B27,見積台帳!$M$10:$M$209,"交渉中"))</f>
        <v>2</v>
      </c>
    </row>
    <row r="28" spans="2:8" ht="16.5">
      <c r="B28" s="23" t="str">
        <f>IF(設定!B12="","",設定!B12)</f>
        <v>田中</v>
      </c>
      <c r="C28" s="15">
        <f>IF($B28="","",COUNTIFS(見積台帳!$G$10:$G$209,$B28,見積台帳!$D$10:$D$209,"&lt;&gt;"))</f>
        <v>1</v>
      </c>
      <c r="D28" s="16">
        <f>IF($B28="","",SUMIFS(見積台帳!$H$10:$H$209,見積台帳!$G$10:$G$209,$B28))</f>
        <v>980000</v>
      </c>
      <c r="E28" s="15">
        <f>IF($B28="","",COUNTIFS(見積台帳!$G$10:$G$209,$B28,見積台帳!$M$10:$M$209,"受注"))</f>
        <v>1</v>
      </c>
      <c r="F28" s="16">
        <f>IF($B28="","",SUMIFS(見積台帳!$O$10:$O$209,見積台帳!$G$10:$G$209,$B28,見積台帳!$M$10:$M$209,"受注"))</f>
        <v>980000</v>
      </c>
      <c r="G28" s="17">
        <f>IF($B28="","",IFERROR(COUNTIFS(見積台帳!$G$10:$G$209,$B28,見積台帳!$M$10:$M$209,"受注")/(COUNTIFS(見積台帳!$G$10:$G$209,$B28,見積台帳!$M$10:$M$209,"受注")+COUNTIFS(見積台帳!$G$10:$G$209,$B28,見積台帳!$M$10:$M$209,"失注")),""))</f>
        <v>1</v>
      </c>
      <c r="H28" s="15">
        <f>IF($B28="","",COUNTIFS(見積台帳!$G$10:$G$209,$B28,見積台帳!$M$10:$M$209,"作成中")+COUNTIFS(見積台帳!$G$10:$G$209,$B28,見積台帳!$M$10:$M$209,"提出済")+COUNTIFS(見積台帳!$G$10:$G$209,$B28,見積台帳!$M$10:$M$209,"交渉中"))</f>
        <v>0</v>
      </c>
    </row>
    <row r="29" spans="2:8" ht="16.5">
      <c r="B29" s="23" t="str">
        <f>IF(設定!B13="","",設定!B13)</f>
        <v>伊藤</v>
      </c>
      <c r="C29" s="15">
        <f>IF($B29="","",COUNTIFS(見積台帳!$G$10:$G$209,$B29,見積台帳!$D$10:$D$209,"&lt;&gt;"))</f>
        <v>2</v>
      </c>
      <c r="D29" s="16">
        <f>IF($B29="","",SUMIFS(見積台帳!$H$10:$H$209,見積台帳!$G$10:$G$209,$B29))</f>
        <v>920000</v>
      </c>
      <c r="E29" s="15">
        <f>IF($B29="","",COUNTIFS(見積台帳!$G$10:$G$209,$B29,見積台帳!$M$10:$M$209,"受注"))</f>
        <v>1</v>
      </c>
      <c r="F29" s="16">
        <f>IF($B29="","",SUMIFS(見積台帳!$O$10:$O$209,見積台帳!$G$10:$G$209,$B29,見積台帳!$M$10:$M$209,"受注"))</f>
        <v>280000</v>
      </c>
      <c r="G29" s="17">
        <f>IF($B29="","",IFERROR(COUNTIFS(見積台帳!$G$10:$G$209,$B29,見積台帳!$M$10:$M$209,"受注")/(COUNTIFS(見積台帳!$G$10:$G$209,$B29,見積台帳!$M$10:$M$209,"受注")+COUNTIFS(見積台帳!$G$10:$G$209,$B29,見積台帳!$M$10:$M$209,"失注")),""))</f>
        <v>1</v>
      </c>
      <c r="H29" s="15">
        <f>IF($B29="","",COUNTIFS(見積台帳!$G$10:$G$209,$B29,見積台帳!$M$10:$M$209,"作成中")+COUNTIFS(見積台帳!$G$10:$G$209,$B29,見積台帳!$M$10:$M$209,"提出済")+COUNTIFS(見積台帳!$G$10:$G$209,$B29,見積台帳!$M$10:$M$209,"交渉中"))</f>
        <v>1</v>
      </c>
    </row>
    <row r="30" spans="2:8" ht="16.5">
      <c r="B30" s="23" t="str">
        <f>IF(設定!B14="","",設定!B14)</f>
        <v/>
      </c>
      <c r="C30" s="15" t="str">
        <f>IF($B30="","",COUNTIFS(見積台帳!$G$10:$G$209,$B30,見積台帳!$D$10:$D$209,"&lt;&gt;"))</f>
        <v/>
      </c>
      <c r="D30" s="16" t="str">
        <f>IF($B30="","",SUMIFS(見積台帳!$H$10:$H$209,見積台帳!$G$10:$G$209,$B30))</f>
        <v/>
      </c>
      <c r="E30" s="15" t="str">
        <f>IF($B30="","",COUNTIFS(見積台帳!$G$10:$G$209,$B30,見積台帳!$M$10:$M$209,"受注"))</f>
        <v/>
      </c>
      <c r="F30" s="16" t="str">
        <f>IF($B30="","",SUMIFS(見積台帳!$O$10:$O$209,見積台帳!$G$10:$G$209,$B30,見積台帳!$M$10:$M$209,"受注"))</f>
        <v/>
      </c>
      <c r="G30" s="17" t="str">
        <f>IF($B30="","",IFERROR(COUNTIFS(見積台帳!$G$10:$G$209,$B30,見積台帳!$M$10:$M$209,"受注")/(COUNTIFS(見積台帳!$G$10:$G$209,$B30,見積台帳!$M$10:$M$209,"受注")+COUNTIFS(見積台帳!$G$10:$G$209,$B30,見積台帳!$M$10:$M$209,"失注")),""))</f>
        <v/>
      </c>
      <c r="H30" s="15" t="str">
        <f>IF($B30="","",COUNTIFS(見積台帳!$G$10:$G$209,$B30,見積台帳!$M$10:$M$209,"作成中")+COUNTIFS(見積台帳!$G$10:$G$209,$B30,見積台帳!$M$10:$M$209,"提出済")+COUNTIFS(見積台帳!$G$10:$G$209,$B30,見積台帳!$M$10:$M$209,"交渉中"))</f>
        <v/>
      </c>
    </row>
    <row r="31" spans="2:8" ht="16.5">
      <c r="B31" s="23" t="str">
        <f>IF(設定!B15="","",設定!B15)</f>
        <v/>
      </c>
      <c r="C31" s="15" t="str">
        <f>IF($B31="","",COUNTIFS(見積台帳!$G$10:$G$209,$B31,見積台帳!$D$10:$D$209,"&lt;&gt;"))</f>
        <v/>
      </c>
      <c r="D31" s="16" t="str">
        <f>IF($B31="","",SUMIFS(見積台帳!$H$10:$H$209,見積台帳!$G$10:$G$209,$B31))</f>
        <v/>
      </c>
      <c r="E31" s="15" t="str">
        <f>IF($B31="","",COUNTIFS(見積台帳!$G$10:$G$209,$B31,見積台帳!$M$10:$M$209,"受注"))</f>
        <v/>
      </c>
      <c r="F31" s="16" t="str">
        <f>IF($B31="","",SUMIFS(見積台帳!$O$10:$O$209,見積台帳!$G$10:$G$209,$B31,見積台帳!$M$10:$M$209,"受注"))</f>
        <v/>
      </c>
      <c r="G31" s="17" t="str">
        <f>IF($B31="","",IFERROR(COUNTIFS(見積台帳!$G$10:$G$209,$B31,見積台帳!$M$10:$M$209,"受注")/(COUNTIFS(見積台帳!$G$10:$G$209,$B31,見積台帳!$M$10:$M$209,"受注")+COUNTIFS(見積台帳!$G$10:$G$209,$B31,見積台帳!$M$10:$M$209,"失注")),""))</f>
        <v/>
      </c>
      <c r="H31" s="15" t="str">
        <f>IF($B31="","",COUNTIFS(見積台帳!$G$10:$G$209,$B31,見積台帳!$M$10:$M$209,"作成中")+COUNTIFS(見積台帳!$G$10:$G$209,$B31,見積台帳!$M$10:$M$209,"提出済")+COUNTIFS(見積台帳!$G$10:$G$209,$B31,見積台帳!$M$10:$M$209,"交渉中"))</f>
        <v/>
      </c>
    </row>
    <row r="32" spans="2:8" ht="16.5">
      <c r="B32" s="23" t="str">
        <f>IF(設定!B16="","",設定!B16)</f>
        <v/>
      </c>
      <c r="C32" s="15" t="str">
        <f>IF($B32="","",COUNTIFS(見積台帳!$G$10:$G$209,$B32,見積台帳!$D$10:$D$209,"&lt;&gt;"))</f>
        <v/>
      </c>
      <c r="D32" s="16" t="str">
        <f>IF($B32="","",SUMIFS(見積台帳!$H$10:$H$209,見積台帳!$G$10:$G$209,$B32))</f>
        <v/>
      </c>
      <c r="E32" s="15" t="str">
        <f>IF($B32="","",COUNTIFS(見積台帳!$G$10:$G$209,$B32,見積台帳!$M$10:$M$209,"受注"))</f>
        <v/>
      </c>
      <c r="F32" s="16" t="str">
        <f>IF($B32="","",SUMIFS(見積台帳!$O$10:$O$209,見積台帳!$G$10:$G$209,$B32,見積台帳!$M$10:$M$209,"受注"))</f>
        <v/>
      </c>
      <c r="G32" s="17" t="str">
        <f>IF($B32="","",IFERROR(COUNTIFS(見積台帳!$G$10:$G$209,$B32,見積台帳!$M$10:$M$209,"受注")/(COUNTIFS(見積台帳!$G$10:$G$209,$B32,見積台帳!$M$10:$M$209,"受注")+COUNTIFS(見積台帳!$G$10:$G$209,$B32,見積台帳!$M$10:$M$209,"失注")),""))</f>
        <v/>
      </c>
      <c r="H32" s="15" t="str">
        <f>IF($B32="","",COUNTIFS(見積台帳!$G$10:$G$209,$B32,見積台帳!$M$10:$M$209,"作成中")+COUNTIFS(見積台帳!$G$10:$G$209,$B32,見積台帳!$M$10:$M$209,"提出済")+COUNTIFS(見積台帳!$G$10:$G$209,$B32,見積台帳!$M$10:$M$209,"交渉中"))</f>
        <v/>
      </c>
    </row>
    <row r="33" spans="2:8" ht="16.5">
      <c r="B33" s="23" t="str">
        <f>IF(設定!B17="","",設定!B17)</f>
        <v/>
      </c>
      <c r="C33" s="15" t="str">
        <f>IF($B33="","",COUNTIFS(見積台帳!$G$10:$G$209,$B33,見積台帳!$D$10:$D$209,"&lt;&gt;"))</f>
        <v/>
      </c>
      <c r="D33" s="16" t="str">
        <f>IF($B33="","",SUMIFS(見積台帳!$H$10:$H$209,見積台帳!$G$10:$G$209,$B33))</f>
        <v/>
      </c>
      <c r="E33" s="15" t="str">
        <f>IF($B33="","",COUNTIFS(見積台帳!$G$10:$G$209,$B33,見積台帳!$M$10:$M$209,"受注"))</f>
        <v/>
      </c>
      <c r="F33" s="16" t="str">
        <f>IF($B33="","",SUMIFS(見積台帳!$O$10:$O$209,見積台帳!$G$10:$G$209,$B33,見積台帳!$M$10:$M$209,"受注"))</f>
        <v/>
      </c>
      <c r="G33" s="17" t="str">
        <f>IF($B33="","",IFERROR(COUNTIFS(見積台帳!$G$10:$G$209,$B33,見積台帳!$M$10:$M$209,"受注")/(COUNTIFS(見積台帳!$G$10:$G$209,$B33,見積台帳!$M$10:$M$209,"受注")+COUNTIFS(見積台帳!$G$10:$G$209,$B33,見積台帳!$M$10:$M$209,"失注")),""))</f>
        <v/>
      </c>
      <c r="H33" s="15" t="str">
        <f>IF($B33="","",COUNTIFS(見積台帳!$G$10:$G$209,$B33,見積台帳!$M$10:$M$209,"作成中")+COUNTIFS(見積台帳!$G$10:$G$209,$B33,見積台帳!$M$10:$M$209,"提出済")+COUNTIFS(見積台帳!$G$10:$G$209,$B33,見積台帳!$M$10:$M$209,"交渉中"))</f>
        <v/>
      </c>
    </row>
    <row r="34" spans="2:8" ht="16.5">
      <c r="B34" s="23" t="str">
        <f>IF(設定!B18="","",設定!B18)</f>
        <v/>
      </c>
      <c r="C34" s="15" t="str">
        <f>IF($B34="","",COUNTIFS(見積台帳!$G$10:$G$209,$B34,見積台帳!$D$10:$D$209,"&lt;&gt;"))</f>
        <v/>
      </c>
      <c r="D34" s="16" t="str">
        <f>IF($B34="","",SUMIFS(見積台帳!$H$10:$H$209,見積台帳!$G$10:$G$209,$B34))</f>
        <v/>
      </c>
      <c r="E34" s="15" t="str">
        <f>IF($B34="","",COUNTIFS(見積台帳!$G$10:$G$209,$B34,見積台帳!$M$10:$M$209,"受注"))</f>
        <v/>
      </c>
      <c r="F34" s="16" t="str">
        <f>IF($B34="","",SUMIFS(見積台帳!$O$10:$O$209,見積台帳!$G$10:$G$209,$B34,見積台帳!$M$10:$M$209,"受注"))</f>
        <v/>
      </c>
      <c r="G34" s="17" t="str">
        <f>IF($B34="","",IFERROR(COUNTIFS(見積台帳!$G$10:$G$209,$B34,見積台帳!$M$10:$M$209,"受注")/(COUNTIFS(見積台帳!$G$10:$G$209,$B34,見積台帳!$M$10:$M$209,"受注")+COUNTIFS(見積台帳!$G$10:$G$209,$B34,見積台帳!$M$10:$M$209,"失注")),""))</f>
        <v/>
      </c>
      <c r="H34" s="15" t="str">
        <f>IF($B34="","",COUNTIFS(見積台帳!$G$10:$G$209,$B34,見積台帳!$M$10:$M$209,"作成中")+COUNTIFS(見積台帳!$G$10:$G$209,$B34,見積台帳!$M$10:$M$209,"提出済")+COUNTIFS(見積台帳!$G$10:$G$209,$B34,見積台帳!$M$10:$M$209,"交渉中"))</f>
        <v/>
      </c>
    </row>
    <row r="35" spans="2:8" ht="16.5">
      <c r="B35" s="23" t="str">
        <f>IF(設定!B19="","",設定!B19)</f>
        <v/>
      </c>
      <c r="C35" s="15" t="str">
        <f>IF($B35="","",COUNTIFS(見積台帳!$G$10:$G$209,$B35,見積台帳!$D$10:$D$209,"&lt;&gt;"))</f>
        <v/>
      </c>
      <c r="D35" s="16" t="str">
        <f>IF($B35="","",SUMIFS(見積台帳!$H$10:$H$209,見積台帳!$G$10:$G$209,$B35))</f>
        <v/>
      </c>
      <c r="E35" s="15" t="str">
        <f>IF($B35="","",COUNTIFS(見積台帳!$G$10:$G$209,$B35,見積台帳!$M$10:$M$209,"受注"))</f>
        <v/>
      </c>
      <c r="F35" s="16" t="str">
        <f>IF($B35="","",SUMIFS(見積台帳!$O$10:$O$209,見積台帳!$G$10:$G$209,$B35,見積台帳!$M$10:$M$209,"受注"))</f>
        <v/>
      </c>
      <c r="G35" s="17" t="str">
        <f>IF($B35="","",IFERROR(COUNTIFS(見積台帳!$G$10:$G$209,$B35,見積台帳!$M$10:$M$209,"受注")/(COUNTIFS(見積台帳!$G$10:$G$209,$B35,見積台帳!$M$10:$M$209,"受注")+COUNTIFS(見積台帳!$G$10:$G$209,$B35,見積台帳!$M$10:$M$209,"失注")),""))</f>
        <v/>
      </c>
      <c r="H35" s="15" t="str">
        <f>IF($B35="","",COUNTIFS(見積台帳!$G$10:$G$209,$B35,見積台帳!$M$10:$M$209,"作成中")+COUNTIFS(見積台帳!$G$10:$G$209,$B35,見積台帳!$M$10:$M$209,"提出済")+COUNTIFS(見積台帳!$G$10:$G$209,$B35,見積台帳!$M$10:$M$209,"交渉中"))</f>
        <v/>
      </c>
    </row>
    <row r="36" spans="2:8" ht="16.5">
      <c r="B36" s="23" t="str">
        <f>IF(設定!B20="","",設定!B20)</f>
        <v/>
      </c>
      <c r="C36" s="15" t="str">
        <f>IF($B36="","",COUNTIFS(見積台帳!$G$10:$G$209,$B36,見積台帳!$D$10:$D$209,"&lt;&gt;"))</f>
        <v/>
      </c>
      <c r="D36" s="16" t="str">
        <f>IF($B36="","",SUMIFS(見積台帳!$H$10:$H$209,見積台帳!$G$10:$G$209,$B36))</f>
        <v/>
      </c>
      <c r="E36" s="15" t="str">
        <f>IF($B36="","",COUNTIFS(見積台帳!$G$10:$G$209,$B36,見積台帳!$M$10:$M$209,"受注"))</f>
        <v/>
      </c>
      <c r="F36" s="16" t="str">
        <f>IF($B36="","",SUMIFS(見積台帳!$O$10:$O$209,見積台帳!$G$10:$G$209,$B36,見積台帳!$M$10:$M$209,"受注"))</f>
        <v/>
      </c>
      <c r="G36" s="17" t="str">
        <f>IF($B36="","",IFERROR(COUNTIFS(見積台帳!$G$10:$G$209,$B36,見積台帳!$M$10:$M$209,"受注")/(COUNTIFS(見積台帳!$G$10:$G$209,$B36,見積台帳!$M$10:$M$209,"受注")+COUNTIFS(見積台帳!$G$10:$G$209,$B36,見積台帳!$M$10:$M$209,"失注")),""))</f>
        <v/>
      </c>
      <c r="H36" s="15" t="str">
        <f>IF($B36="","",COUNTIFS(見積台帳!$G$10:$G$209,$B36,見積台帳!$M$10:$M$209,"作成中")+COUNTIFS(見積台帳!$G$10:$G$209,$B36,見積台帳!$M$10:$M$209,"提出済")+COUNTIFS(見積台帳!$G$10:$G$209,$B36,見積台帳!$M$10:$M$209,"交渉中"))</f>
        <v/>
      </c>
    </row>
    <row r="37" spans="2:8" ht="16.5">
      <c r="B37" s="23" t="str">
        <f>IF(設定!B21="","",設定!B21)</f>
        <v/>
      </c>
      <c r="C37" s="15" t="str">
        <f>IF($B37="","",COUNTIFS(見積台帳!$G$10:$G$209,$B37,見積台帳!$D$10:$D$209,"&lt;&gt;"))</f>
        <v/>
      </c>
      <c r="D37" s="16" t="str">
        <f>IF($B37="","",SUMIFS(見積台帳!$H$10:$H$209,見積台帳!$G$10:$G$209,$B37))</f>
        <v/>
      </c>
      <c r="E37" s="15" t="str">
        <f>IF($B37="","",COUNTIFS(見積台帳!$G$10:$G$209,$B37,見積台帳!$M$10:$M$209,"受注"))</f>
        <v/>
      </c>
      <c r="F37" s="16" t="str">
        <f>IF($B37="","",SUMIFS(見積台帳!$O$10:$O$209,見積台帳!$G$10:$G$209,$B37,見積台帳!$M$10:$M$209,"受注"))</f>
        <v/>
      </c>
      <c r="G37" s="17" t="str">
        <f>IF($B37="","",IFERROR(COUNTIFS(見積台帳!$G$10:$G$209,$B37,見積台帳!$M$10:$M$209,"受注")/(COUNTIFS(見積台帳!$G$10:$G$209,$B37,見積台帳!$M$10:$M$209,"受注")+COUNTIFS(見積台帳!$G$10:$G$209,$B37,見積台帳!$M$10:$M$209,"失注")),""))</f>
        <v/>
      </c>
      <c r="H37" s="15" t="str">
        <f>IF($B37="","",COUNTIFS(見積台帳!$G$10:$G$209,$B37,見積台帳!$M$10:$M$209,"作成中")+COUNTIFS(見積台帳!$G$10:$G$209,$B37,見積台帳!$M$10:$M$209,"提出済")+COUNTIFS(見積台帳!$G$10:$G$209,$B37,見積台帳!$M$10:$M$209,"交渉中"))</f>
        <v/>
      </c>
    </row>
    <row r="38" spans="2:8" ht="16.5">
      <c r="B38" s="23" t="str">
        <f>IF(設定!B22="","",設定!B22)</f>
        <v/>
      </c>
      <c r="C38" s="15" t="str">
        <f>IF($B38="","",COUNTIFS(見積台帳!$G$10:$G$209,$B38,見積台帳!$D$10:$D$209,"&lt;&gt;"))</f>
        <v/>
      </c>
      <c r="D38" s="16" t="str">
        <f>IF($B38="","",SUMIFS(見積台帳!$H$10:$H$209,見積台帳!$G$10:$G$209,$B38))</f>
        <v/>
      </c>
      <c r="E38" s="15" t="str">
        <f>IF($B38="","",COUNTIFS(見積台帳!$G$10:$G$209,$B38,見積台帳!$M$10:$M$209,"受注"))</f>
        <v/>
      </c>
      <c r="F38" s="16" t="str">
        <f>IF($B38="","",SUMIFS(見積台帳!$O$10:$O$209,見積台帳!$G$10:$G$209,$B38,見積台帳!$M$10:$M$209,"受注"))</f>
        <v/>
      </c>
      <c r="G38" s="17" t="str">
        <f>IF($B38="","",IFERROR(COUNTIFS(見積台帳!$G$10:$G$209,$B38,見積台帳!$M$10:$M$209,"受注")/(COUNTIFS(見積台帳!$G$10:$G$209,$B38,見積台帳!$M$10:$M$209,"受注")+COUNTIFS(見積台帳!$G$10:$G$209,$B38,見積台帳!$M$10:$M$209,"失注")),""))</f>
        <v/>
      </c>
      <c r="H38" s="15" t="str">
        <f>IF($B38="","",COUNTIFS(見積台帳!$G$10:$G$209,$B38,見積台帳!$M$10:$M$209,"作成中")+COUNTIFS(見積台帳!$G$10:$G$209,$B38,見積台帳!$M$10:$M$209,"提出済")+COUNTIFS(見積台帳!$G$10:$G$209,$B38,見積台帳!$M$10:$M$209,"交渉中"))</f>
        <v/>
      </c>
    </row>
    <row r="39" spans="2:8" ht="16.5">
      <c r="B39" s="23" t="str">
        <f>IF(設定!B23="","",設定!B23)</f>
        <v/>
      </c>
      <c r="C39" s="15" t="str">
        <f>IF($B39="","",COUNTIFS(見積台帳!$G$10:$G$209,$B39,見積台帳!$D$10:$D$209,"&lt;&gt;"))</f>
        <v/>
      </c>
      <c r="D39" s="16" t="str">
        <f>IF($B39="","",SUMIFS(見積台帳!$H$10:$H$209,見積台帳!$G$10:$G$209,$B39))</f>
        <v/>
      </c>
      <c r="E39" s="15" t="str">
        <f>IF($B39="","",COUNTIFS(見積台帳!$G$10:$G$209,$B39,見積台帳!$M$10:$M$209,"受注"))</f>
        <v/>
      </c>
      <c r="F39" s="16" t="str">
        <f>IF($B39="","",SUMIFS(見積台帳!$O$10:$O$209,見積台帳!$G$10:$G$209,$B39,見積台帳!$M$10:$M$209,"受注"))</f>
        <v/>
      </c>
      <c r="G39" s="17" t="str">
        <f>IF($B39="","",IFERROR(COUNTIFS(見積台帳!$G$10:$G$209,$B39,見積台帳!$M$10:$M$209,"受注")/(COUNTIFS(見積台帳!$G$10:$G$209,$B39,見積台帳!$M$10:$M$209,"受注")+COUNTIFS(見積台帳!$G$10:$G$209,$B39,見積台帳!$M$10:$M$209,"失注")),""))</f>
        <v/>
      </c>
      <c r="H39" s="15" t="str">
        <f>IF($B39="","",COUNTIFS(見積台帳!$G$10:$G$209,$B39,見積台帳!$M$10:$M$209,"作成中")+COUNTIFS(見積台帳!$G$10:$G$209,$B39,見積台帳!$M$10:$M$209,"提出済")+COUNTIFS(見積台帳!$G$10:$G$209,$B39,見積台帳!$M$10:$M$209,"交渉中"))</f>
        <v/>
      </c>
    </row>
  </sheetData>
  <mergeCells count="2">
    <mergeCell ref="D5:H5"/>
    <mergeCell ref="B2:H2"/>
  </mergeCells>
  <phoneticPr fontId="26"/>
  <hyperlinks>
    <hyperlink ref="A1" r:id="rId1" display="テンプレート倉庫" xr:uid="{E55E6C5D-85F0-4FD6-B553-5DE43A596843}"/>
    <hyperlink ref="A1:AI1" r:id="rId2" display="他にも魅力的な情報がたっぷり！テンプレート倉庫" xr:uid="{FB8DE9A3-3700-4776-BB8D-A4995017BED0}"/>
  </hyperlinks>
  <pageMargins left="0.75" right="0.75" top="1" bottom="1" header="0.511811023622047" footer="0.511811023622047"/>
  <pageSetup paperSize="9" scale="97" orientation="portrait" horizontalDpi="300" verticalDpi="3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"/>
  <sheetViews>
    <sheetView showGridLines="0" zoomScaleNormal="100" workbookViewId="0"/>
  </sheetViews>
  <sheetFormatPr defaultColWidth="8.7109375" defaultRowHeight="15"/>
  <cols>
    <col min="1" max="1" width="2" customWidth="1"/>
    <col min="2" max="2" width="18" customWidth="1"/>
    <col min="3" max="3" width="16" customWidth="1"/>
    <col min="4" max="4" width="30" customWidth="1"/>
  </cols>
  <sheetData>
    <row r="1" spans="1:35" s="34" customFormat="1" ht="45" customHeight="1">
      <c r="A1" s="33" t="s">
        <v>90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1:35" ht="24.75">
      <c r="B2" s="24" t="s">
        <v>81</v>
      </c>
    </row>
    <row r="4" spans="1:35" ht="16.5">
      <c r="B4" s="25" t="s">
        <v>82</v>
      </c>
      <c r="C4" s="39">
        <v>0.1</v>
      </c>
      <c r="D4" s="1" t="s">
        <v>83</v>
      </c>
    </row>
    <row r="5" spans="1:35" ht="16.5">
      <c r="B5" s="25" t="s">
        <v>84</v>
      </c>
      <c r="C5" s="40">
        <v>30</v>
      </c>
      <c r="D5" s="1" t="s">
        <v>85</v>
      </c>
    </row>
    <row r="6" spans="1:35" ht="16.5">
      <c r="B6" s="25" t="s">
        <v>86</v>
      </c>
      <c r="C6" s="40">
        <v>7</v>
      </c>
      <c r="D6" s="1" t="s">
        <v>87</v>
      </c>
    </row>
    <row r="8" spans="1:35" ht="16.5">
      <c r="B8" s="26" t="s">
        <v>88</v>
      </c>
      <c r="D8" s="26" t="s">
        <v>89</v>
      </c>
    </row>
    <row r="9" spans="1:35" ht="16.5">
      <c r="B9" s="41" t="s">
        <v>24</v>
      </c>
      <c r="D9" s="27" t="s">
        <v>68</v>
      </c>
    </row>
    <row r="10" spans="1:35" ht="16.5">
      <c r="B10" s="41" t="s">
        <v>30</v>
      </c>
      <c r="D10" s="27" t="s">
        <v>50</v>
      </c>
    </row>
    <row r="11" spans="1:35" ht="16.5">
      <c r="B11" s="41" t="s">
        <v>36</v>
      </c>
      <c r="D11" s="27" t="s">
        <v>45</v>
      </c>
    </row>
    <row r="12" spans="1:35" ht="16.5">
      <c r="B12" s="41" t="s">
        <v>41</v>
      </c>
      <c r="D12" s="27" t="s">
        <v>25</v>
      </c>
    </row>
    <row r="13" spans="1:35" ht="16.5">
      <c r="B13" s="41" t="s">
        <v>58</v>
      </c>
      <c r="D13" s="27" t="s">
        <v>31</v>
      </c>
    </row>
    <row r="14" spans="1:35" ht="16.5">
      <c r="B14" s="41"/>
    </row>
    <row r="15" spans="1:35" ht="16.5">
      <c r="B15" s="41"/>
    </row>
    <row r="16" spans="1:35" ht="16.5">
      <c r="B16" s="41"/>
    </row>
    <row r="17" spans="2:2" ht="16.5">
      <c r="B17" s="41"/>
    </row>
    <row r="18" spans="2:2" ht="16.5">
      <c r="B18" s="41"/>
    </row>
    <row r="19" spans="2:2" ht="16.5">
      <c r="B19" s="41"/>
    </row>
    <row r="20" spans="2:2" ht="16.5">
      <c r="B20" s="41"/>
    </row>
    <row r="21" spans="2:2" ht="16.5">
      <c r="B21" s="41"/>
    </row>
    <row r="22" spans="2:2" ht="16.5">
      <c r="B22" s="41"/>
    </row>
    <row r="23" spans="2:2" ht="16.5">
      <c r="B23" s="41"/>
    </row>
  </sheetData>
  <phoneticPr fontId="26"/>
  <hyperlinks>
    <hyperlink ref="A1" r:id="rId1" display="テンプレート倉庫" xr:uid="{1B8B7ADC-86E7-489F-9559-6D03A8569331}"/>
    <hyperlink ref="A1:AI1" r:id="rId2" display="他にも魅力的な情報がたっぷり！テンプレート倉庫" xr:uid="{71FD316C-3E1B-4287-A1A4-B40B46C51028}"/>
  </hyperlinks>
  <pageMargins left="0.75" right="0.75" top="1" bottom="1" header="0.511811023622047" footer="0.511811023622047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見積台帳</vt:lpstr>
      <vt:lpstr>集計</vt:lpstr>
      <vt:lpstr>設定</vt:lpstr>
      <vt:lpstr>見積台帳!Print_Area</vt:lpstr>
      <vt:lpstr>集計!Print_Area</vt:lpstr>
      <vt:lpstr>見積台帳!Print_Titles</vt:lpstr>
    </vt:vector>
  </TitlesOfParts>
  <Manager>template-soko.com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テンプレート倉庫</dc:title>
  <dc:subject/>
  <dc:creator>inbl</dc:creator>
  <dc:description/>
  <cp:lastModifiedBy>inbl</cp:lastModifiedBy>
  <cp:revision>0</cp:revision>
  <cp:lastPrinted>2026-10-30T02:55:03Z</cp:lastPrinted>
  <dcterms:created xsi:type="dcterms:W3CDTF">2026-10-30T02:08:14Z</dcterms:created>
  <dcterms:modified xsi:type="dcterms:W3CDTF">2026-10-30T02:56:06Z</dcterms:modified>
  <dc:language>en-US</dc:language>
</cp:coreProperties>
</file>